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8pL0TI3DAccQEa4kzW7pCZPZbUR3fgC619SoSIKXbNZrRJhmfsl9AZQnqXnp3voulSkBnXP6djBPiblQhP+B/Q==" workbookSaltValue="Rctm01mG71/BpPSSqWPX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3" i="13" s="1"/>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AP10" i="2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G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D17" i="8"/>
  <c r="BF17" i="8"/>
  <c r="AB19" i="19"/>
  <c r="BF9" i="13"/>
  <c r="E18" i="12"/>
  <c r="ER19" i="8"/>
  <c r="EL19" i="8"/>
  <c r="AC11" i="11"/>
  <c r="EQ19" i="8"/>
  <c r="AP12" i="11"/>
  <c r="Y11" i="11"/>
  <c r="AT18" i="17"/>
  <c r="N10" i="11"/>
  <c r="N9" i="11"/>
  <c r="T10" i="21"/>
  <c r="F10" i="10"/>
  <c r="D11" i="2"/>
  <c r="N11" i="11"/>
  <c r="ES19" i="8"/>
  <c r="C18" i="7"/>
  <c r="S19" i="13"/>
  <c r="AG19" i="19"/>
  <c r="F9" i="11"/>
  <c r="CI19" i="8"/>
  <c r="AE19" i="8"/>
  <c r="EP19" i="8"/>
  <c r="ER19" i="13"/>
  <c r="AL13" i="16"/>
  <c r="S13" i="16"/>
  <c r="H18" i="16"/>
  <c r="P13" i="16"/>
  <c r="AN13" i="20"/>
  <c r="Z13" i="17"/>
  <c r="N13" i="2"/>
  <c r="AL11" i="11"/>
  <c r="AO9" i="11"/>
  <c r="AC10" i="11"/>
  <c r="H13" i="12"/>
  <c r="T19" i="8"/>
  <c r="AJ19" i="8"/>
  <c r="BH9" i="11"/>
  <c r="BJ12" i="11"/>
  <c r="BK17" i="11"/>
  <c r="BU11" i="17"/>
  <c r="BW12" i="20"/>
  <c r="BW10" i="20"/>
  <c r="AA15" i="16"/>
  <c r="BG12" i="11"/>
  <c r="AQ10" i="21"/>
  <c r="BG16" i="11"/>
  <c r="BK10" i="11"/>
  <c r="S19" i="8"/>
  <c r="AY13" i="8"/>
  <c r="BE9" i="8"/>
  <c r="AV18" i="17"/>
  <c r="J18" i="17"/>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G20" i="20"/>
  <c r="AU20" i="20"/>
  <c r="O20" i="20"/>
  <c r="Q20" i="20"/>
  <c r="H20" i="20"/>
  <c r="U12" i="11"/>
  <c r="R20" i="20"/>
  <c r="AV20" i="20"/>
  <c r="AX20" i="20"/>
  <c r="X20" i="20"/>
  <c r="Z20" i="20"/>
  <c r="O16" i="11"/>
  <c r="T20" i="20"/>
  <c r="I20" i="20"/>
  <c r="AD20" i="20"/>
  <c r="M20" i="20"/>
  <c r="W20" i="21"/>
  <c r="W20" i="20"/>
  <c r="AI20" i="20"/>
  <c r="Y20" i="20"/>
  <c r="AH20" i="20"/>
  <c r="N20" i="20"/>
  <c r="T20" i="21"/>
  <c r="AO20" i="20"/>
  <c r="Y19" i="8" l="1"/>
  <c r="F16" i="17"/>
  <c r="BF15" i="8"/>
  <c r="AW18" i="21"/>
  <c r="BG10" i="8"/>
  <c r="AB19" i="8"/>
  <c r="Z19" i="8"/>
  <c r="C19" i="3"/>
  <c r="B12" i="6"/>
  <c r="AL10" i="11"/>
  <c r="L12" i="14"/>
  <c r="AO12" i="11"/>
  <c r="AO16" i="11"/>
  <c r="H12" i="7"/>
  <c r="F9" i="2"/>
  <c r="B9" i="6"/>
  <c r="E11" i="6"/>
  <c r="B17" i="6"/>
  <c r="AO16" i="17"/>
  <c r="C17" i="6"/>
  <c r="M18" i="2"/>
  <c r="M19" i="2" s="1"/>
  <c r="N18" i="2"/>
  <c r="E9" i="6"/>
  <c r="BA13" i="8"/>
  <c r="BM9" i="11"/>
  <c r="Q9" i="11" s="1"/>
  <c r="BK16" i="11"/>
  <c r="BH10" i="11"/>
  <c r="S11" i="14"/>
  <c r="V11" i="14" s="1"/>
  <c r="BU12" i="17"/>
  <c r="BW11" i="20"/>
  <c r="BU10" i="17"/>
  <c r="AP17" i="20"/>
  <c r="BG15" i="11"/>
  <c r="BD16" i="13"/>
  <c r="BF11" i="8"/>
  <c r="BF9" i="8"/>
  <c r="BD15" i="8"/>
  <c r="H15" i="7" s="1"/>
  <c r="BE15" i="8"/>
  <c r="BG16" i="8"/>
  <c r="K16" i="7" s="1"/>
  <c r="C10" i="6"/>
  <c r="E18" i="2"/>
  <c r="F18" i="2" s="1"/>
  <c r="AO17" i="11"/>
  <c r="AL15" i="11"/>
  <c r="L16" i="14"/>
  <c r="F15" i="11"/>
  <c r="AQ15" i="11" s="1"/>
  <c r="AY13" i="13"/>
  <c r="BE9" i="13"/>
  <c r="H15" i="2"/>
  <c r="E15" i="6"/>
  <c r="K15" i="12" s="1"/>
  <c r="B16" i="6"/>
  <c r="BB13" i="13"/>
  <c r="BB19" i="13" s="1"/>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Q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W15" i="20"/>
  <c r="BW21" i="20" s="1"/>
  <c r="BU9" i="17"/>
  <c r="BV10" i="16"/>
  <c r="BV13" i="16" s="1"/>
  <c r="BU17" i="17"/>
  <c r="BU16" i="17"/>
  <c r="BV9" i="16"/>
  <c r="AZ16" i="11"/>
  <c r="AZ12" i="11"/>
  <c r="R10" i="14"/>
  <c r="T15" i="11"/>
  <c r="X17" i="17"/>
  <c r="S15" i="16"/>
  <c r="P15" i="17"/>
  <c r="BF12" i="11"/>
  <c r="BL15" i="11"/>
  <c r="BL10" i="11"/>
  <c r="BH10" i="16"/>
  <c r="Q15" i="17"/>
  <c r="BM17" i="11"/>
  <c r="BF15" i="11"/>
  <c r="BH16" i="11"/>
  <c r="AQ12" i="21"/>
  <c r="BJ16" i="11"/>
  <c r="BJ18" i="11" s="1"/>
  <c r="BL16" i="11"/>
  <c r="L10" i="2"/>
  <c r="L15" i="2"/>
  <c r="L16" i="2"/>
  <c r="V9" i="16"/>
  <c r="T9" i="11"/>
  <c r="BF11" i="11"/>
  <c r="BH11" i="16"/>
  <c r="BL9" i="11"/>
  <c r="BH17" i="16"/>
  <c r="BG10" i="11"/>
  <c r="BM16" i="11"/>
  <c r="P17" i="17"/>
  <c r="BL17" i="11"/>
  <c r="P17" i="11" s="1"/>
  <c r="BK12" i="11"/>
  <c r="BF10" i="11"/>
  <c r="BK9" i="11"/>
  <c r="R12" i="14"/>
  <c r="V12" i="21"/>
  <c r="AO12" i="17"/>
  <c r="BK11" i="11"/>
  <c r="X9"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K12" i="12"/>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U13" i="17"/>
  <c r="I17" i="12"/>
  <c r="AS16" i="20"/>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K16" i="12" l="1"/>
  <c r="AI19" i="11"/>
  <c r="F19" i="7"/>
  <c r="BF13" i="8"/>
  <c r="BE13" i="8"/>
  <c r="I10" i="12"/>
  <c r="D19" i="12"/>
  <c r="B19" i="7"/>
  <c r="K9" i="12"/>
  <c r="H13" i="2"/>
  <c r="J11" i="12"/>
  <c r="P9" i="11"/>
  <c r="AL18" i="11"/>
  <c r="V19" i="20"/>
  <c r="F18" i="11"/>
  <c r="AZ19" i="11"/>
  <c r="C18" i="6"/>
  <c r="P18" i="17"/>
  <c r="P19" i="17" s="1"/>
  <c r="Q10" i="11"/>
  <c r="BL18" i="11"/>
  <c r="BF18" i="11"/>
  <c r="Q18" i="17"/>
  <c r="Q19" i="17" s="1"/>
  <c r="BU21" i="17"/>
  <c r="P15" i="11"/>
  <c r="J18" i="2"/>
  <c r="G21" i="11"/>
  <c r="AM13" i="11"/>
  <c r="Y13" i="11"/>
  <c r="I11" i="12"/>
  <c r="S13" i="14"/>
  <c r="BH13" i="11"/>
  <c r="R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Q20" i="11"/>
  <c r="P20" i="17"/>
  <c r="V20" i="17"/>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AG20" i="17"/>
  <c r="U20" i="11"/>
  <c r="X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<sst xmlns="http://schemas.openxmlformats.org/spreadsheetml/2006/main" count="2088" uniqueCount="910">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</sst>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gCCZwwKFowfrGJbgmzt9FJTKPUv01lAVpFh8DxVFq/agGdqNYNWKaniPZnyvvVtXhb/sENX+bH95t3JRn3U4w==" saltValue="w7PNYV2Zi6ugKhidKc9D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46.226395409494003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109</v>
      </c>
      <c r="D10" s="224">
        <f>IF(ISNUMBER(Datos!I10),Datos!I10," - ")</f>
        <v>109</v>
      </c>
      <c r="E10" s="225">
        <f>IF(ISNUMBER(Datos!J10),Datos!J10," - ")</f>
        <v>15</v>
      </c>
      <c r="F10" s="225">
        <f>IF(ISNUMBER(Datos!K10),Datos!K10," - ")</f>
        <v>10</v>
      </c>
      <c r="G10" s="1033" t="str">
        <f>IF(Datos!E10&lt;&gt;"",Datos!E10,Datos!D10)</f>
        <v>37</v>
      </c>
      <c r="H10" s="226">
        <f>IF(ISNUMBER(Datos!L10),Datos!L10," - ")</f>
        <v>114</v>
      </c>
      <c r="I10" s="1043" t="str">
        <f>IF(ISNUMBER(Datos!AS10/Datos!BM10),Datos!AS10/Datos!BM10," - ")</f>
        <v xml:space="preserve"> - </v>
      </c>
      <c r="J10" s="1044">
        <f>IF(ISNUMBER(Datos!BY10/Datos!CN10),Datos!BY10/Datos!CN10," - ")</f>
        <v>0</v>
      </c>
      <c r="K10" s="229">
        <f t="shared" ref="K10:K12" si="1">IF(ISNUMBER((E10-F10)/C10),(E10-F10)/C10," - ")</f>
        <v>4.5871559633027525E-2</v>
      </c>
      <c r="L10" s="1024">
        <f>IF(ISNUMBER(NºAsuntos!I10/NºAsuntos!G10),(NºAsuntos!I10/NºAsuntos!G10)*11," - ")</f>
        <v>125.4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109</v>
      </c>
      <c r="D13" s="1048">
        <f>SUBTOTAL(9,D9:D12)</f>
        <v>109</v>
      </c>
      <c r="E13" s="1049">
        <f>SUBTOTAL(9,E9:E12)</f>
        <v>15</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3608</v>
      </c>
      <c r="D15" s="224">
        <f>IF(ISNUMBER(IF(D_I="SI",Datos!I15,Datos!I15+Datos!AC15)),IF(D_I="SI",Datos!I15,Datos!I15+Datos!AC15)," - ")</f>
        <v>3600</v>
      </c>
      <c r="E15" s="225">
        <f>IF(ISNUMBER(IF(D_I="SI",Datos!J15,Datos!J15+Datos!AD15)),IF(D_I="SI",Datos!J15,Datos!J15+Datos!AD15)," - ")</f>
        <v>1825</v>
      </c>
      <c r="F15" s="225">
        <f>IF(ISNUMBER(IF(D_I="SI",Datos!K15,Datos!K15+Datos!AE15)),IF(D_I="SI",Datos!K15,Datos!K15+Datos!AE15)," - ")</f>
        <v>1485</v>
      </c>
      <c r="G15" s="1033" t="str">
        <f>IF(Datos!E15&lt;&gt;"",Datos!E15,Datos!D15)</f>
        <v>03</v>
      </c>
      <c r="H15" s="226">
        <f>IF(ISNUMBER(IF(D_I="SI",Datos!L15,Datos!L15+Datos!AF15)),IF(D_I="SI",Datos!L15,Datos!L15+Datos!AF15)," - ")</f>
        <v>3948</v>
      </c>
      <c r="I15" s="1043" t="str">
        <f>IF(ISNUMBER(Datos!AS15/Datos!BM15),Datos!AS15/Datos!BM15," - ")</f>
        <v xml:space="preserve"> - </v>
      </c>
      <c r="J15" s="1044">
        <f>IF(ISNUMBER(Datos!BY15/Datos!CN15),Datos!BY15/Datos!CN15," - ")</f>
        <v>0</v>
      </c>
      <c r="K15" s="229">
        <f t="shared" ref="K15:K17" si="3">IF(ISNUMBER((E15-F15)/C15),(E15-F15)/C15," - ")</f>
        <v>9.4235033259423506E-2</v>
      </c>
      <c r="L15" s="1024">
        <f>IF(ISNUMBER(NºAsuntos!I15/NºAsuntos!G15),(NºAsuntos!I15/NºAsuntos!G15)*11," - ")</f>
        <v>29.244444444444444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3</v>
      </c>
      <c r="D16" s="224">
        <f>IF(ISNUMBER(IF(D_I="SI",Datos!I16,Datos!I16+Datos!AC16)),IF(D_I="SI",Datos!I16,Datos!I16+Datos!AC16)," - ")</f>
        <v>3</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3</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276</v>
      </c>
      <c r="D17" s="224">
        <f>IF(ISNUMBER(IF(D_I="SI",Datos!I17,Datos!I17+Datos!AC17)),IF(D_I="SI",Datos!I17,Datos!I17+Datos!AC17)," - ")</f>
        <v>276</v>
      </c>
      <c r="E17" s="225">
        <f>IF(ISNUMBER(IF(D_I="SI",Datos!J17,Datos!J17+Datos!AD17)),IF(D_I="SI",Datos!J17,Datos!J17+Datos!AD17)," - ")</f>
        <v>238</v>
      </c>
      <c r="F17" s="225">
        <f>IF(ISNUMBER(IF(D_I="SI",Datos!K17,Datos!K17+Datos!AE17)),IF(D_I="SI",Datos!K17,Datos!K17+Datos!AE17)," - ")</f>
        <v>270</v>
      </c>
      <c r="G17" s="1033" t="str">
        <f>IF(Datos!E17&lt;&gt;"",Datos!E17,Datos!D17)</f>
        <v>37</v>
      </c>
      <c r="H17" s="226">
        <f>IF(ISNUMBER(IF(D_I="SI",Datos!L17,Datos!L17+Datos!AF17)),IF(D_I="SI",Datos!L17,Datos!L17+Datos!AF17)," - ")</f>
        <v>244</v>
      </c>
      <c r="I17" s="1043" t="str">
        <f>IF(ISNUMBER(Datos!AS17/Datos!BM17),Datos!AS17/Datos!BM17," - ")</f>
        <v xml:space="preserve"> - </v>
      </c>
      <c r="J17" s="1044" t="str">
        <f>IF(ISNUMBER((Datos!BY17+Datos!BZ17)/Datos!CN17),(Datos!BY17+Datos!BZ17)/Datos!CN17," - ")</f>
        <v xml:space="preserve"> - </v>
      </c>
      <c r="K17" s="229">
        <f t="shared" si="3"/>
        <v>-0.11594202898550725</v>
      </c>
      <c r="L17" s="1024">
        <f>IF(ISNUMBER(NºAsuntos!I17/NºAsuntos!G17),(NºAsuntos!I17/NºAsuntos!G17)*11," - ")</f>
        <v>9.9407407407407398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3887</v>
      </c>
      <c r="D18" s="1048">
        <f>SUBTOTAL(9,D15:D17)</f>
        <v>3879</v>
      </c>
      <c r="E18" s="1049">
        <f>SUBTOTAL(9,E15:E17)</f>
        <v>2063</v>
      </c>
      <c r="F18" s="1049">
        <f>SUBTOTAL(9,F15:F17)</f>
        <v>1755</v>
      </c>
      <c r="G18" s="1051" t="str">
        <f ca="1">INDIRECT(CONCATENATE("G",ROW()-1))</f>
        <v>37</v>
      </c>
      <c r="H18" s="1052">
        <f ca="1">SUMIF(G$14:G17,G18,H$14:H17)</f>
        <v>244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3996</v>
      </c>
      <c r="D19" s="1070">
        <f>SUBTOTAL(9,D9:D18)</f>
        <v>3988</v>
      </c>
      <c r="E19" s="1071">
        <f>SUBTOTAL(9,E9:E18)</f>
        <v>2078</v>
      </c>
      <c r="F19" s="1071">
        <f>SUBTOTAL(9,F9:F18)</f>
        <v>1765</v>
      </c>
      <c r="G19" s="1072"/>
      <c r="H19" s="1073">
        <f ca="1">SUMIF(B9:B18,"TOTAL",H9:H18)</f>
        <v>244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2VjDiwJwkaP00fRkn0bbHTSrPS+ycOs5/f8uGaaYm3ImhlJANECRDNInladRKwbGIMomlG/KGbD4D8QujO6Gfw==" saltValue="84hMGqBPq1w+pmXwTtEG2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17nfquRNqZYMUcmEzHWJmTUVQ/wgJpiwh3ysjItDyvPRr7Ib220HJMONQG82wJfVe3XTe5KVIZTpDILiBomHA==" saltValue="wy56x24lWOkIuJXzg5kH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8354</v>
      </c>
      <c r="J9" s="180">
        <v>1422</v>
      </c>
      <c r="K9" s="180">
        <v>1830</v>
      </c>
      <c r="L9" s="180">
        <v>7838</v>
      </c>
      <c r="M9" s="180">
        <v>445</v>
      </c>
      <c r="N9" s="180">
        <v>777</v>
      </c>
      <c r="O9" s="180">
        <v>809</v>
      </c>
      <c r="P9" s="180">
        <v>636</v>
      </c>
      <c r="Q9" s="180">
        <v>456</v>
      </c>
      <c r="R9" s="180">
        <v>8564</v>
      </c>
      <c r="S9" s="180">
        <v>6541</v>
      </c>
      <c r="T9" s="180">
        <v>1998</v>
      </c>
      <c r="U9" s="180">
        <v>1467</v>
      </c>
      <c r="V9" s="180">
        <v>6853</v>
      </c>
      <c r="W9" s="180">
        <v>362</v>
      </c>
      <c r="X9" s="187">
        <v>651</v>
      </c>
      <c r="Y9" s="190">
        <v>206</v>
      </c>
      <c r="Z9" s="180">
        <v>113</v>
      </c>
      <c r="AA9" s="180">
        <v>87</v>
      </c>
      <c r="AB9" s="180">
        <v>218</v>
      </c>
      <c r="AC9" s="180">
        <v>0</v>
      </c>
      <c r="AD9" s="180">
        <v>0</v>
      </c>
      <c r="AE9" s="180">
        <v>0</v>
      </c>
      <c r="AF9" s="187">
        <v>0</v>
      </c>
      <c r="AG9" s="190">
        <v>172</v>
      </c>
      <c r="AH9" s="180">
        <v>93</v>
      </c>
      <c r="AI9" s="180">
        <v>101</v>
      </c>
      <c r="AJ9" s="191">
        <v>164</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6713</v>
      </c>
      <c r="AZ9" s="123">
        <f>IF(ISNUMBER(IF(J_V="SI",T9,T9+AH9)),IF(J_V="SI",T9,T9+AH9)," - ")</f>
        <v>2091</v>
      </c>
      <c r="BA9" s="124">
        <f>IF(ISNUMBER(IF(J_V="SI",U9,U9+AI9)),IF(J_V="SI",U9,U9+AI9)," - ")</f>
        <v>1568</v>
      </c>
      <c r="BB9" s="124">
        <f>IF(ISNUMBER(IF(J_V="SI",V9,V9+AJ9)),IF(J_V="SI",V9,V9+AJ9)," - ")</f>
        <v>7017</v>
      </c>
      <c r="BC9" s="125">
        <f>IF(ISNUMBER(X9),X9," - ")</f>
        <v>651</v>
      </c>
      <c r="BD9" s="126">
        <f>IF(ISNUMBER(BA9/AZ9),BA9/AZ9," - ")</f>
        <v>0.74988043998087039</v>
      </c>
      <c r="BE9" s="127">
        <f>IF(ISNUMBER(BB9/BA9),BB9/BA9, " - ")</f>
        <v>4.4751275510204085</v>
      </c>
      <c r="BF9" s="127">
        <f>IF(ISNUMBER(BC9/BA9),BC9/BA9, " - ")</f>
        <v>0.41517857142857145</v>
      </c>
      <c r="BG9" s="195">
        <f>IF(ISNUMBER((AY9+AZ9)/BA9),(AY9+AZ9)/BA9," - ")</f>
        <v>5.6147959183673466</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109</v>
      </c>
      <c r="J10" s="180">
        <v>15</v>
      </c>
      <c r="K10" s="180">
        <v>10</v>
      </c>
      <c r="L10" s="180">
        <v>114</v>
      </c>
      <c r="M10" s="180">
        <v>0</v>
      </c>
      <c r="N10" s="180">
        <v>10</v>
      </c>
      <c r="O10" s="180">
        <v>1</v>
      </c>
      <c r="P10" s="180">
        <v>3</v>
      </c>
      <c r="Q10" s="180">
        <v>1</v>
      </c>
      <c r="R10" s="180">
        <v>136</v>
      </c>
      <c r="S10" s="180">
        <v>95</v>
      </c>
      <c r="T10" s="180">
        <v>11</v>
      </c>
      <c r="U10" s="180">
        <v>12</v>
      </c>
      <c r="V10" s="180">
        <v>94</v>
      </c>
      <c r="W10" s="180">
        <v>9</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95</v>
      </c>
      <c r="AZ10" s="129">
        <f t="shared" si="0"/>
        <v>11</v>
      </c>
      <c r="BA10" s="129">
        <f t="shared" si="0"/>
        <v>12</v>
      </c>
      <c r="BB10" s="129">
        <f t="shared" si="0"/>
        <v>94</v>
      </c>
      <c r="BC10" s="125">
        <f t="shared" si="0"/>
        <v>9</v>
      </c>
      <c r="BD10" s="126">
        <f>IF(ISNUMBER(BA10/AZ10),BA10/AZ10," - ")</f>
        <v>1.0909090909090908</v>
      </c>
      <c r="BE10" s="127">
        <f>IF(ISNUMBER(BB10/BA10),BB10/BA10, " - ")</f>
        <v>7.833333333333333</v>
      </c>
      <c r="BF10" s="127">
        <f>IF(ISNUMBER(BC10/BA10),BC10/BA10, " - ")</f>
        <v>0.75</v>
      </c>
      <c r="BG10" s="195">
        <f>IF(ISNUMBER((AY10+AZ10)/BA10),(AY10+AZ10)/BA10," - ")</f>
        <v>8.8333333333333339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8463</v>
      </c>
      <c r="J13" s="183">
        <f t="shared" si="6"/>
        <v>1437</v>
      </c>
      <c r="K13" s="183">
        <f t="shared" si="6"/>
        <v>1840</v>
      </c>
      <c r="L13" s="183">
        <f t="shared" si="6"/>
        <v>7952</v>
      </c>
      <c r="M13" s="183">
        <f t="shared" si="6"/>
        <v>445</v>
      </c>
      <c r="N13" s="183">
        <f t="shared" si="6"/>
        <v>787</v>
      </c>
      <c r="O13" s="183">
        <f t="shared" si="6"/>
        <v>810</v>
      </c>
      <c r="P13" s="183">
        <f t="shared" si="6"/>
        <v>639</v>
      </c>
      <c r="Q13" s="183">
        <f t="shared" si="6"/>
        <v>457</v>
      </c>
      <c r="R13" s="183">
        <f t="shared" si="6"/>
        <v>8700</v>
      </c>
      <c r="S13" s="183">
        <f t="shared" si="6"/>
        <v>6636</v>
      </c>
      <c r="T13" s="183">
        <f t="shared" si="6"/>
        <v>2009</v>
      </c>
      <c r="U13" s="183">
        <f t="shared" si="6"/>
        <v>1479</v>
      </c>
      <c r="V13" s="183">
        <f t="shared" si="6"/>
        <v>6947</v>
      </c>
      <c r="W13" s="183">
        <f t="shared" si="6"/>
        <v>371</v>
      </c>
      <c r="X13" s="183">
        <f t="shared" si="6"/>
        <v>654</v>
      </c>
      <c r="Y13" s="183">
        <f t="shared" si="6"/>
        <v>206</v>
      </c>
      <c r="Z13" s="183">
        <f t="shared" si="6"/>
        <v>113</v>
      </c>
      <c r="AA13" s="183">
        <f t="shared" si="6"/>
        <v>87</v>
      </c>
      <c r="AB13" s="183">
        <f t="shared" si="6"/>
        <v>218</v>
      </c>
      <c r="AC13" s="183">
        <f t="shared" si="6"/>
        <v>0</v>
      </c>
      <c r="AD13" s="183">
        <f t="shared" si="6"/>
        <v>0</v>
      </c>
      <c r="AE13" s="183">
        <f t="shared" si="6"/>
        <v>0</v>
      </c>
      <c r="AF13" s="183">
        <f>SUBTOTAL(9,AF9:AF12)</f>
        <v>0</v>
      </c>
      <c r="AG13" s="183">
        <f t="shared" ref="AG13:AT13" si="7">SUBTOTAL(9,AG8:AG12)</f>
        <v>172</v>
      </c>
      <c r="AH13" s="183">
        <f t="shared" si="7"/>
        <v>93</v>
      </c>
      <c r="AI13" s="183">
        <f t="shared" si="7"/>
        <v>101</v>
      </c>
      <c r="AJ13" s="183">
        <f t="shared" si="7"/>
        <v>164</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6808</v>
      </c>
      <c r="AZ13" s="183">
        <f>SUBTOTAL(9,AZ8:AZ12)</f>
        <v>2102</v>
      </c>
      <c r="BA13" s="183">
        <f>SUBTOTAL(9,BA8:BA12)</f>
        <v>1580</v>
      </c>
      <c r="BB13" s="183">
        <f>SUBTOTAL(9,BB8:BB12)</f>
        <v>7111</v>
      </c>
      <c r="BC13" s="183">
        <f>SUBTOTAL(9,BC8:BC12)</f>
        <v>660</v>
      </c>
      <c r="BD13" s="204">
        <f>IF(ISNUMBER(BA13/AZ13),BA13/AZ13," - ")</f>
        <v>0.75166508087535677</v>
      </c>
      <c r="BE13" s="205">
        <f>IF(ISNUMBER(BB13/BA13),BB13/BA13, " - ")</f>
        <v>4.5006329113924046</v>
      </c>
      <c r="BF13" s="205">
        <f>IF(ISNUMBER(BC13/BA13),BC13/BA13, " - ")</f>
        <v>0.41772151898734178</v>
      </c>
      <c r="BG13" s="206">
        <f>IF(ISNUMBER((AY13+AZ13)/BA13),(AY13+AZ13)/BA13," - ")</f>
        <v>5.6392405063291138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3600</v>
      </c>
      <c r="J15" s="182">
        <v>1825</v>
      </c>
      <c r="K15" s="182">
        <v>1485</v>
      </c>
      <c r="L15" s="182">
        <v>3948</v>
      </c>
      <c r="M15" s="182">
        <v>159</v>
      </c>
      <c r="N15" s="182">
        <v>962</v>
      </c>
      <c r="O15" s="180">
        <v>10</v>
      </c>
      <c r="P15" s="182">
        <v>18</v>
      </c>
      <c r="Q15" s="182">
        <v>21</v>
      </c>
      <c r="R15" s="182">
        <v>235</v>
      </c>
      <c r="S15" s="182">
        <v>3133</v>
      </c>
      <c r="T15" s="182">
        <v>1873</v>
      </c>
      <c r="U15" s="182">
        <v>1650</v>
      </c>
      <c r="V15" s="182">
        <v>3358</v>
      </c>
      <c r="W15" s="182">
        <v>179</v>
      </c>
      <c r="X15" s="188">
        <v>982</v>
      </c>
      <c r="Y15" s="201">
        <v>0</v>
      </c>
      <c r="Z15" s="182">
        <v>0</v>
      </c>
      <c r="AA15" s="182">
        <v>0</v>
      </c>
      <c r="AB15" s="182">
        <v>0</v>
      </c>
      <c r="AC15" s="182">
        <v>0</v>
      </c>
      <c r="AD15" s="182">
        <v>20</v>
      </c>
      <c r="AE15" s="182">
        <v>20</v>
      </c>
      <c r="AF15" s="188">
        <v>0</v>
      </c>
      <c r="AG15" s="201">
        <v>0</v>
      </c>
      <c r="AH15" s="182">
        <v>0</v>
      </c>
      <c r="AI15" s="182">
        <v>0</v>
      </c>
      <c r="AJ15" s="202">
        <v>0</v>
      </c>
      <c r="AK15" s="181">
        <v>0</v>
      </c>
      <c r="AL15" s="182">
        <v>3</v>
      </c>
      <c r="AM15" s="182">
        <v>3</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3133</v>
      </c>
      <c r="AZ15" s="129">
        <f t="shared" si="9"/>
        <v>1873</v>
      </c>
      <c r="BA15" s="129">
        <f t="shared" si="9"/>
        <v>1650</v>
      </c>
      <c r="BB15" s="129">
        <f t="shared" si="9"/>
        <v>3358</v>
      </c>
      <c r="BC15" s="125">
        <f>IF(ISNUMBER(W15),W15," - ")</f>
        <v>179</v>
      </c>
      <c r="BD15" s="126">
        <f>IF(ISNUMBER(BA15/AZ15),BA15/AZ15," - ")</f>
        <v>0.88093966898024556</v>
      </c>
      <c r="BE15" s="127">
        <f>IF(ISNUMBER(BB15/BA15),BB15/BA15, " - ")</f>
        <v>2.0351515151515152</v>
      </c>
      <c r="BF15" s="127">
        <f>IF(ISNUMBER(BC15/BA15),BC15/BA15, " - ")</f>
        <v>0.10848484848484849</v>
      </c>
      <c r="BG15" s="195">
        <f t="shared" ref="BG15:BG16" si="10">IF(ISNUMBER((AY15+AZ15)/BA15),(AY15+AZ15)/BA15," - ")</f>
        <v>3.0339393939393942</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3</v>
      </c>
      <c r="J16" s="182">
        <v>0</v>
      </c>
      <c r="K16" s="182">
        <v>0</v>
      </c>
      <c r="L16" s="182">
        <v>3</v>
      </c>
      <c r="M16" s="182">
        <v>0</v>
      </c>
      <c r="N16" s="182">
        <v>0</v>
      </c>
      <c r="O16" s="180">
        <v>0</v>
      </c>
      <c r="P16" s="182">
        <v>0</v>
      </c>
      <c r="Q16" s="182">
        <v>0</v>
      </c>
      <c r="R16" s="182">
        <v>0</v>
      </c>
      <c r="S16" s="182">
        <v>3</v>
      </c>
      <c r="T16" s="182">
        <v>0</v>
      </c>
      <c r="U16" s="182">
        <v>0</v>
      </c>
      <c r="V16" s="182">
        <v>3</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3</v>
      </c>
      <c r="AZ16" s="127">
        <f t="shared" si="9"/>
        <v>0</v>
      </c>
      <c r="BA16" s="127">
        <f t="shared" si="9"/>
        <v>0</v>
      </c>
      <c r="BB16" s="127">
        <f t="shared" si="9"/>
        <v>3</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276</v>
      </c>
      <c r="J17" s="182">
        <v>238</v>
      </c>
      <c r="K17" s="182">
        <v>270</v>
      </c>
      <c r="L17" s="182">
        <v>244</v>
      </c>
      <c r="M17" s="182">
        <v>61</v>
      </c>
      <c r="N17" s="182">
        <v>145</v>
      </c>
      <c r="O17" s="182">
        <v>0</v>
      </c>
      <c r="P17" s="182">
        <v>5</v>
      </c>
      <c r="Q17" s="182">
        <v>4</v>
      </c>
      <c r="R17" s="182">
        <v>27</v>
      </c>
      <c r="S17" s="182">
        <v>293</v>
      </c>
      <c r="T17" s="182">
        <v>240</v>
      </c>
      <c r="U17" s="182">
        <v>217</v>
      </c>
      <c r="V17" s="182">
        <v>316</v>
      </c>
      <c r="W17" s="182">
        <v>61</v>
      </c>
      <c r="X17" s="188">
        <v>116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293</v>
      </c>
      <c r="AZ17" s="129">
        <f t="shared" si="14"/>
        <v>240</v>
      </c>
      <c r="BA17" s="129">
        <f t="shared" si="14"/>
        <v>217</v>
      </c>
      <c r="BB17" s="129">
        <f t="shared" si="14"/>
        <v>316</v>
      </c>
      <c r="BC17" s="125">
        <f>IF(ISNUMBER(W17),W17," - ")</f>
        <v>61</v>
      </c>
      <c r="BD17" s="126">
        <f>IF(ISNUMBER(BA17/AZ17),BA17/AZ17," - ")</f>
        <v>0.90416666666666667</v>
      </c>
      <c r="BE17" s="127">
        <f>IF(ISNUMBER(BB17/BA17),BB17/BA17, " - ")</f>
        <v>1.4562211981566819</v>
      </c>
      <c r="BF17" s="127">
        <f>IF(ISNUMBER(BC17/BA17),BC17/BA17, " - ")</f>
        <v>0.28110599078341014</v>
      </c>
      <c r="BG17" s="195">
        <f>IF(ISNUMBER((AY17+AZ17)/BA17),(AY17+AZ17)/BA17," - ")</f>
        <v>2.4562211981566819</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3879</v>
      </c>
      <c r="J18" s="183">
        <f t="shared" si="15"/>
        <v>2063</v>
      </c>
      <c r="K18" s="183">
        <f t="shared" si="15"/>
        <v>1755</v>
      </c>
      <c r="L18" s="183">
        <f t="shared" si="15"/>
        <v>4195</v>
      </c>
      <c r="M18" s="183">
        <f t="shared" si="15"/>
        <v>220</v>
      </c>
      <c r="N18" s="183">
        <f t="shared" si="15"/>
        <v>1107</v>
      </c>
      <c r="O18" s="183">
        <f t="shared" si="15"/>
        <v>10</v>
      </c>
      <c r="P18" s="183">
        <f t="shared" si="15"/>
        <v>23</v>
      </c>
      <c r="Q18" s="183">
        <f t="shared" si="15"/>
        <v>25</v>
      </c>
      <c r="R18" s="183">
        <f t="shared" si="15"/>
        <v>262</v>
      </c>
      <c r="S18" s="183">
        <f t="shared" si="15"/>
        <v>3429</v>
      </c>
      <c r="T18" s="183">
        <f t="shared" si="15"/>
        <v>2113</v>
      </c>
      <c r="U18" s="183">
        <f t="shared" si="15"/>
        <v>1867</v>
      </c>
      <c r="V18" s="183">
        <f t="shared" si="15"/>
        <v>3677</v>
      </c>
      <c r="W18" s="183">
        <f t="shared" si="15"/>
        <v>240</v>
      </c>
      <c r="X18" s="183">
        <f t="shared" si="15"/>
        <v>1098</v>
      </c>
      <c r="Y18" s="183">
        <f t="shared" si="15"/>
        <v>0</v>
      </c>
      <c r="Z18" s="183">
        <f t="shared" si="15"/>
        <v>0</v>
      </c>
      <c r="AA18" s="183">
        <f t="shared" si="15"/>
        <v>0</v>
      </c>
      <c r="AB18" s="183">
        <f t="shared" si="15"/>
        <v>0</v>
      </c>
      <c r="AC18" s="183">
        <f t="shared" si="15"/>
        <v>0</v>
      </c>
      <c r="AD18" s="183">
        <f t="shared" si="15"/>
        <v>20</v>
      </c>
      <c r="AE18" s="183">
        <f t="shared" si="15"/>
        <v>20</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3429</v>
      </c>
      <c r="AZ18" s="183">
        <f>SUBTOTAL(9,AZ14:AZ17)</f>
        <v>2113</v>
      </c>
      <c r="BA18" s="183">
        <f>SUBTOTAL(9,BA14:BA17)</f>
        <v>1867</v>
      </c>
      <c r="BB18" s="183">
        <f>SUBTOTAL(9,BB14:BB17)</f>
        <v>3677</v>
      </c>
      <c r="BC18" s="183">
        <f>SUBTOTAL(9,BC14:BC17)</f>
        <v>240</v>
      </c>
      <c r="BD18" s="204">
        <f>IF(ISNUMBER(BA18/AZ18),BA18/AZ18," - ")</f>
        <v>0.88357785139611922</v>
      </c>
      <c r="BE18" s="205">
        <f>IF(ISNUMBER(BB18/BA18),BB18/BA18, " - ")</f>
        <v>1.9694697375468666</v>
      </c>
      <c r="BF18" s="205">
        <f>IF(ISNUMBER(BC18/BA18),BC18/BA18, " - ")</f>
        <v>0.12854847348687734</v>
      </c>
      <c r="BG18" s="206">
        <f>IF(ISNUMBER((AY18+AZ18)/BA18),(AY18+AZ18)/BA18," - ")</f>
        <v>2.9683985002678095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12342</v>
      </c>
      <c r="J19" s="134">
        <f t="shared" si="18"/>
        <v>3500</v>
      </c>
      <c r="K19" s="134">
        <f t="shared" si="18"/>
        <v>3595</v>
      </c>
      <c r="L19" s="134">
        <f t="shared" si="18"/>
        <v>12147</v>
      </c>
      <c r="M19" s="134">
        <f t="shared" si="18"/>
        <v>665</v>
      </c>
      <c r="N19" s="134">
        <f t="shared" si="18"/>
        <v>1894</v>
      </c>
      <c r="O19" s="134">
        <f t="shared" si="18"/>
        <v>820</v>
      </c>
      <c r="P19" s="134">
        <f t="shared" si="18"/>
        <v>662</v>
      </c>
      <c r="Q19" s="134">
        <f t="shared" si="18"/>
        <v>482</v>
      </c>
      <c r="R19" s="134">
        <f t="shared" si="18"/>
        <v>8962</v>
      </c>
      <c r="S19" s="134">
        <f t="shared" si="18"/>
        <v>10065</v>
      </c>
      <c r="T19" s="134">
        <f t="shared" si="18"/>
        <v>4122</v>
      </c>
      <c r="U19" s="134">
        <f t="shared" si="18"/>
        <v>3346</v>
      </c>
      <c r="V19" s="134">
        <f t="shared" si="18"/>
        <v>10624</v>
      </c>
      <c r="W19" s="134">
        <f t="shared" si="18"/>
        <v>611</v>
      </c>
      <c r="X19" s="134">
        <f t="shared" si="18"/>
        <v>1752</v>
      </c>
      <c r="Y19" s="134">
        <f t="shared" si="18"/>
        <v>206</v>
      </c>
      <c r="Z19" s="134">
        <f t="shared" si="18"/>
        <v>113</v>
      </c>
      <c r="AA19" s="134">
        <f t="shared" si="18"/>
        <v>87</v>
      </c>
      <c r="AB19" s="134">
        <f t="shared" si="18"/>
        <v>218</v>
      </c>
      <c r="AC19" s="134">
        <f t="shared" si="18"/>
        <v>0</v>
      </c>
      <c r="AD19" s="134">
        <f t="shared" si="18"/>
        <v>20</v>
      </c>
      <c r="AE19" s="134">
        <f t="shared" si="18"/>
        <v>20</v>
      </c>
      <c r="AF19" s="134">
        <f t="shared" si="18"/>
        <v>0</v>
      </c>
      <c r="AG19" s="134">
        <f t="shared" si="18"/>
        <v>172</v>
      </c>
      <c r="AH19" s="134">
        <f t="shared" si="18"/>
        <v>93</v>
      </c>
      <c r="AI19" s="134">
        <f t="shared" si="18"/>
        <v>101</v>
      </c>
      <c r="AJ19" s="134">
        <f t="shared" si="18"/>
        <v>164</v>
      </c>
      <c r="AK19" s="134">
        <f t="shared" si="18"/>
        <v>0</v>
      </c>
      <c r="AL19" s="134">
        <f t="shared" si="18"/>
        <v>3</v>
      </c>
      <c r="AM19" s="134">
        <f t="shared" si="18"/>
        <v>3</v>
      </c>
      <c r="AN19" s="209">
        <f t="shared" si="18"/>
        <v>0</v>
      </c>
      <c r="AO19" s="210">
        <v>9</v>
      </c>
      <c r="AP19" s="210">
        <v>8</v>
      </c>
      <c r="AQ19" s="210">
        <v>8</v>
      </c>
      <c r="AR19" s="210">
        <v>8</v>
      </c>
      <c r="AS19" s="152">
        <f t="shared" si="18"/>
        <v>0</v>
      </c>
      <c r="AT19" s="152">
        <f t="shared" si="18"/>
        <v>0</v>
      </c>
      <c r="AU19" s="210"/>
      <c r="AV19" s="211"/>
      <c r="AW19" s="210"/>
      <c r="AX19" s="211"/>
      <c r="AY19" s="133">
        <f>SUBTOTAL(9,AY9:AY18)</f>
        <v>10237</v>
      </c>
      <c r="AZ19" s="134">
        <f>SUBTOTAL(9,AZ9:AZ18)</f>
        <v>4215</v>
      </c>
      <c r="BA19" s="134">
        <f>SUBTOTAL(9,BA9:BA18)</f>
        <v>3447</v>
      </c>
      <c r="BB19" s="134">
        <f>SUBTOTAL(9,BB9:BB18)</f>
        <v>10788</v>
      </c>
      <c r="BC19" s="135">
        <f>SUBTOTAL(9,BC9:BC18)</f>
        <v>900</v>
      </c>
      <c r="BD19" s="212">
        <f>IF(ISNUMBER(BA19/AZ19),BA19/AZ19," - ")</f>
        <v>0.81779359430604981</v>
      </c>
      <c r="BE19" s="209">
        <f>IF(ISNUMBER(BB19/BA19),BB19/BA19, " - ")</f>
        <v>3.1296779808529154</v>
      </c>
      <c r="BF19" s="209">
        <f>IF(ISNUMBER(BC19/BA19),BC19/BA19, " - ")</f>
        <v>0.26109660574412535</v>
      </c>
      <c r="BG19" s="135">
        <f>IF(ISNUMBER((AY19+AZ19)/BA19),(AY19+AZ19)/BA19," - ")</f>
        <v>4.1926312735712212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sx1Sbs7BmCOUTyYdVtuCWqqt0ZOqIbeBXi8xUD3khQ7IWUQwBq3y8oqBcqkOMyp29j1xexTHPj0//0bLAdWdg==" saltValue="pUcnNw/JKVkNuhB/eFPT9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yCCqIlKWChwhgz70pKm2WdzN9hGB968EWKncKv/g0lIFQgq+PEPsufp5br4EGxEef+/HZG8SZf73C/84HkQxw==" saltValue="e10dTdM94EL/5jP/cc51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INCA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113</v>
      </c>
      <c r="O9" s="333"/>
      <c r="P9" s="333"/>
      <c r="Q9" s="225">
        <f>IF(ISNUMBER(Datos!P9),Datos!P9,0)</f>
        <v>636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456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218</v>
      </c>
      <c r="AI9" s="333" t="str">
        <f>IF(ISNUMBER(Datos!CD9),Datos!CD9,"-")</f>
        <v>-</v>
      </c>
      <c r="AJ9" s="333" t="str">
        <f>IF(ISNUMBER(Datos!EN9),Datos!EN9," - ")</f>
        <v xml:space="preserve"> - </v>
      </c>
      <c r="AK9" s="333"/>
      <c r="AL9" s="478"/>
      <c r="AM9" s="334">
        <f>IF(ISNUMBER(Datos!R9),Datos!R9," - ")</f>
        <v>8564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445</v>
      </c>
      <c r="BD9" s="228">
        <f>IF(ISNUMBER(Datos!N9),Datos!N9," - ")</f>
        <v>777</v>
      </c>
      <c r="BE9" s="228" t="str">
        <f>IF(ISNUMBER(Datos!BW9),Datos!BW9," - ")</f>
        <v xml:space="preserve"> - </v>
      </c>
      <c r="BF9" s="227" t="str">
        <f>IF(ISNUMBER(Datos!BX9),Datos!BX9," - ")</f>
        <v xml:space="preserve"> - </v>
      </c>
      <c r="BG9" s="242">
        <f>IF(ISNUMBER(IF(J_V="SI",Datos!K9/Datos!J9,(Datos!K9+Datos!AA9)/(Datos!J9+Datos!Z9))),IF(J_V="SI",Datos!K9/Datos!J9,(Datos!K9+Datos!AA9)/(Datos!J9+Datos!Z9))," - ")</f>
        <v>1.2488599348534202</v>
      </c>
      <c r="BH9" s="259">
        <f>IF(ISNUMBER(((IF(J_V="SI",Datos!L9/Datos!K9,(Datos!L9+Datos!AB9)/(Datos!K9+Datos!AA9)))*11)/factor_trimestre),((IF(J_V="SI",Datos!L9/Datos!K9,(Datos!L9+Datos!AB9)/(Datos!K9+Datos!AA9)))*11)/factor_trimestre," - ")</f>
        <v>8.4047991653625456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2.1469465648854963E-2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109</v>
      </c>
      <c r="G10" s="332">
        <f>IF(ISNUMBER(Datos!I10),Datos!I10," - ")</f>
        <v>109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1</v>
      </c>
      <c r="AD10" s="333"/>
      <c r="AE10" s="483"/>
      <c r="AF10" s="331">
        <f>IF(ISNUMBER(Datos!L10),Datos!L10,"-")</f>
        <v>114</v>
      </c>
      <c r="AG10" s="333"/>
      <c r="AH10" s="333"/>
      <c r="AI10" s="333"/>
      <c r="AJ10" s="333"/>
      <c r="AK10" s="333"/>
      <c r="AL10" s="478"/>
      <c r="AM10" s="334">
        <f>IF(ISNUMBER(Datos!R10),Datos!R10," - ")</f>
        <v>136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22.8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1.4925373134328358E-2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109</v>
      </c>
      <c r="G13" s="897">
        <f t="shared" si="0"/>
        <v>109</v>
      </c>
      <c r="H13" s="898">
        <f t="shared" si="0"/>
        <v>0</v>
      </c>
      <c r="I13" s="897">
        <f t="shared" si="0"/>
        <v>0</v>
      </c>
      <c r="J13" s="866">
        <f t="shared" si="0"/>
        <v>0</v>
      </c>
      <c r="K13" s="866">
        <f t="shared" si="0"/>
        <v>0</v>
      </c>
      <c r="L13" s="898">
        <f t="shared" si="0"/>
        <v>0</v>
      </c>
      <c r="M13" s="898">
        <f t="shared" si="0"/>
        <v>0</v>
      </c>
      <c r="N13" s="898">
        <f t="shared" si="0"/>
        <v>113</v>
      </c>
      <c r="O13" s="899">
        <f t="shared" si="0"/>
        <v>0</v>
      </c>
      <c r="P13" s="899">
        <f t="shared" si="0"/>
        <v>0</v>
      </c>
      <c r="Q13" s="898">
        <f t="shared" si="0"/>
        <v>639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457</v>
      </c>
      <c r="AD13" s="898">
        <f t="shared" si="1"/>
        <v>0</v>
      </c>
      <c r="AE13" s="898">
        <f t="shared" si="1"/>
        <v>0</v>
      </c>
      <c r="AF13" s="898">
        <f t="shared" si="1"/>
        <v>114</v>
      </c>
      <c r="AG13" s="898">
        <f t="shared" si="1"/>
        <v>0</v>
      </c>
      <c r="AH13" s="898">
        <f t="shared" si="1"/>
        <v>218</v>
      </c>
      <c r="AI13" s="898">
        <f t="shared" si="1"/>
        <v>0</v>
      </c>
      <c r="AJ13" s="898">
        <f t="shared" si="1"/>
        <v>0</v>
      </c>
      <c r="AK13" s="898">
        <f t="shared" si="1"/>
        <v>0</v>
      </c>
      <c r="AL13" s="898">
        <f t="shared" si="1"/>
        <v>0</v>
      </c>
      <c r="AM13" s="898">
        <f t="shared" si="1"/>
        <v>8700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445</v>
      </c>
      <c r="BD13" s="898">
        <f t="shared" si="1"/>
        <v>787</v>
      </c>
      <c r="BE13" s="898">
        <f t="shared" si="1"/>
        <v>0</v>
      </c>
      <c r="BF13" s="898">
        <f t="shared" si="1"/>
        <v>0</v>
      </c>
      <c r="BG13" s="898">
        <f>IF(ISNUMBER(Datos!K13/Datos!J13),Datos!K13/Datos!J13," - ")</f>
        <v>1.2804453723034099</v>
      </c>
      <c r="BH13" s="902">
        <f>IF(ISNUMBER(((Datos!L13/Datos!K13)*11)/factor_trimestre),((Datos!L13/Datos!K13)*11)/factor_trimestre," - ")</f>
        <v>8.6434782608695659</v>
      </c>
      <c r="BI13" s="898">
        <f>IF(ISNUMBER('Resol  Asuntos'!D13/NºAsuntos!G13),'Resol  Asuntos'!D13/NºAsuntos!G13," - ")</f>
        <v>0.2309289050337312</v>
      </c>
      <c r="BJ13" s="898" t="str">
        <f>IF(ISNUMBER(Datos!CI13/Datos!CJ13),Datos!CI13/Datos!CJ13," - ")</f>
        <v xml:space="preserve"> - </v>
      </c>
      <c r="BK13" s="898">
        <f>SUBTOTAL(9,BK8:BK12)</f>
        <v>0</v>
      </c>
      <c r="BL13" s="898">
        <f>IF(ISNUMBER((I13-AB13+L13)/(F13)),(I13-AB13+L13)/(F13)," - ")</f>
        <v>-9.1743119266055051E-2</v>
      </c>
      <c r="BM13" s="903">
        <f>SUBTOTAL(9,BM9:BM12)</f>
        <v>3.6394838783183323E-2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3608</v>
      </c>
      <c r="G15" s="597">
        <f>IF(ISNUMBER(IF(D_I="SI",Datos!I15,Datos!I15+Datos!AC15)),IF(D_I="SI",Datos!I15,Datos!I15+Datos!AC15)," - ")</f>
        <v>3600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1485</v>
      </c>
      <c r="AC15" s="225">
        <f>IF(ISNUMBER(Datos!Q15),Datos!Q15," - ")</f>
        <v>21</v>
      </c>
      <c r="AD15" s="333"/>
      <c r="AE15" s="483"/>
      <c r="AF15" s="595">
        <f>IF(ISNUMBER(IF(D_I="SI",Datos!L15,Datos!L15+Datos!AF15)),IF(D_I="SI",Datos!L15,Datos!L15+Datos!AF15)," - ")</f>
        <v>3948</v>
      </c>
      <c r="AG15" s="333"/>
      <c r="AH15" s="333"/>
      <c r="AI15" s="333"/>
      <c r="AJ15" s="333"/>
      <c r="AK15" s="333"/>
      <c r="AL15" s="478"/>
      <c r="AM15" s="334">
        <f>IF(ISNUMBER(Datos!R15),Datos!R15," - ")</f>
        <v>235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159</v>
      </c>
      <c r="BD15" s="228">
        <f>IF(ISNUMBER(Datos!N15),Datos!N15," - ")</f>
        <v>962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0.81369863013698629</v>
      </c>
      <c r="BH15" s="259">
        <f>IF(ISNUMBER(((IF(D_I="SI",Datos!L15/Datos!K15,(Datos!L15+Datos!AF15)/(Datos!K15+Datos!AE15)))*11)/factor_trimestre),((IF(D_I="SI",Datos!L15/Datos!K15,(Datos!L15+Datos!AF15)/(Datos!K15+Datos!AE15)))*11)/factor_trimestre," - ")</f>
        <v>5.3171717171717168</v>
      </c>
      <c r="BI15" s="242">
        <f>IF(ISNUMBER('Resol  Asuntos'!D15/NºAsuntos!G15),'Resol  Asuntos'!D15/NºAsuntos!G15," - ")</f>
        <v>0.10707070707070707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3</v>
      </c>
      <c r="G16" s="597">
        <f>IF(ISNUMBER(IF(D_I="SI",Datos!I16,Datos!I16+Datos!AC16)),IF(D_I="SI",Datos!I16,Datos!I16+Datos!AC16)," - ")</f>
        <v>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3</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276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270</v>
      </c>
      <c r="AC17" s="225">
        <f>IF(ISNUMBER(Datos!Q17),Datos!Q17," - ")</f>
        <v>4</v>
      </c>
      <c r="AD17" s="333"/>
      <c r="AE17" s="483"/>
      <c r="AF17" s="331">
        <f>IF(ISNUMBER(Datos!L17),Datos!L17,"-")</f>
        <v>244</v>
      </c>
      <c r="AG17" s="333"/>
      <c r="AH17" s="333"/>
      <c r="AI17" s="333"/>
      <c r="AJ17" s="333"/>
      <c r="AK17" s="333"/>
      <c r="AL17" s="478"/>
      <c r="AM17" s="334">
        <f>IF(ISNUMBER(Datos!R17),Datos!R17," - ")</f>
        <v>27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61</v>
      </c>
      <c r="BD17" s="228">
        <f>IF(ISNUMBER(Datos!N17),Datos!N17," - ")</f>
        <v>145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1.134453781512605</v>
      </c>
      <c r="BH17" s="259">
        <f>IF(ISNUMBER(((IF(D_I="SI",Datos!L17/Datos!K17,(Datos!L17+Datos!AF17)/(Datos!K17+Datos!AE17)))*11)/factor_trimestre),((IF(D_I="SI",Datos!L17/Datos!K17,(Datos!L17+Datos!AF17)/(Datos!K17+Datos!AE17)))*11)/factor_trimestre," - ")</f>
        <v>1.8074074074074071</v>
      </c>
      <c r="BI17" s="242">
        <f>IF(ISNUMBER('Resol  Asuntos'!D17/NºAsuntos!G17),'Resol  Asuntos'!D17/NºAsuntos!G17," - ")</f>
        <v>0.22592592592592592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3611</v>
      </c>
      <c r="G18" s="897">
        <f>SUBTOTAL(9,G15:G17)</f>
        <v>3879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1755</v>
      </c>
      <c r="AC18" s="898">
        <f t="shared" si="4"/>
        <v>25</v>
      </c>
      <c r="AD18" s="898">
        <f t="shared" si="4"/>
        <v>0</v>
      </c>
      <c r="AE18" s="898">
        <f t="shared" si="4"/>
        <v>0</v>
      </c>
      <c r="AF18" s="898">
        <f t="shared" si="4"/>
        <v>4195</v>
      </c>
      <c r="AG18" s="898">
        <f t="shared" si="4"/>
        <v>0</v>
      </c>
      <c r="AH18" s="898">
        <f t="shared" si="4"/>
        <v>0</v>
      </c>
      <c r="AI18" s="898">
        <f t="shared" si="4"/>
        <v>0</v>
      </c>
      <c r="AJ18" s="898">
        <f t="shared" si="4"/>
        <v>0</v>
      </c>
      <c r="AK18" s="898">
        <f t="shared" si="4"/>
        <v>0</v>
      </c>
      <c r="AL18" s="898">
        <f t="shared" si="4"/>
        <v>0</v>
      </c>
      <c r="AM18" s="898">
        <f t="shared" si="4"/>
        <v>262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220</v>
      </c>
      <c r="BD18" s="898">
        <f t="shared" si="4"/>
        <v>1107</v>
      </c>
      <c r="BE18" s="898">
        <f t="shared" si="4"/>
        <v>0</v>
      </c>
      <c r="BF18" s="898">
        <f t="shared" si="4"/>
        <v>0</v>
      </c>
      <c r="BG18" s="898">
        <f>IF(ISNUMBER(Datos!K18/Datos!J18),Datos!K18/Datos!J18," - ")</f>
        <v>0.85070285991274841</v>
      </c>
      <c r="BH18" s="902">
        <f>IF(ISNUMBER(((Datos!L18/Datos!K18)*11)/factor_trimestre),((Datos!L18/Datos!K18)*11)/factor_trimestre," - ")</f>
        <v>4.7806267806267808</v>
      </c>
      <c r="BI18" s="898">
        <f>SUBTOTAL(9,BI15:BI17)</f>
        <v>0.33299663299663296</v>
      </c>
      <c r="BJ18" s="898">
        <f>SUBTOTAL(9,BJ15:BJ17)</f>
        <v>0</v>
      </c>
      <c r="BK18" s="898">
        <f>SUBTOTAL(9,BK15:BK17)</f>
        <v>0</v>
      </c>
      <c r="BL18" s="898">
        <f>IF(ISNUMBER((I18-AB18+L18)/(F18)),(I18-AB18+L18)/(F18)," - ")</f>
        <v>-0.48601495430628633</v>
      </c>
      <c r="BM18" s="904">
        <f>IF(ISNUMBER((Datos!P18-Datos!Q18)/(Datos!R18-Datos!P18+Datos!Q18)),(Datos!P18-Datos!Q18)/(Datos!R18-Datos!P18+Datos!Q18)," - ")</f>
        <v>-7.575757575757576E-3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3720</v>
      </c>
      <c r="G19" s="819">
        <f t="shared" si="6"/>
        <v>3988</v>
      </c>
      <c r="H19" s="821">
        <f t="shared" si="6"/>
        <v>0</v>
      </c>
      <c r="I19" s="819">
        <f t="shared" si="6"/>
        <v>0</v>
      </c>
      <c r="J19" s="821">
        <f t="shared" si="6"/>
        <v>0</v>
      </c>
      <c r="K19" s="821">
        <f t="shared" si="6"/>
        <v>0</v>
      </c>
      <c r="L19" s="880">
        <f t="shared" si="6"/>
        <v>0</v>
      </c>
      <c r="M19" s="880">
        <f t="shared" si="6"/>
        <v>0</v>
      </c>
      <c r="N19" s="880">
        <f t="shared" si="6"/>
        <v>113</v>
      </c>
      <c r="O19" s="880">
        <f t="shared" si="6"/>
        <v>0</v>
      </c>
      <c r="P19" s="880">
        <f t="shared" si="6"/>
        <v>0</v>
      </c>
      <c r="Q19" s="821">
        <f t="shared" si="6"/>
        <v>662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1765</v>
      </c>
      <c r="AC19" s="820">
        <f t="shared" si="7"/>
        <v>482</v>
      </c>
      <c r="AD19" s="820">
        <f t="shared" si="7"/>
        <v>0</v>
      </c>
      <c r="AE19" s="820">
        <f t="shared" si="7"/>
        <v>0</v>
      </c>
      <c r="AF19" s="827">
        <f t="shared" si="7"/>
        <v>4309</v>
      </c>
      <c r="AG19" s="827">
        <f t="shared" si="7"/>
        <v>0</v>
      </c>
      <c r="AH19" s="827">
        <f t="shared" si="7"/>
        <v>218</v>
      </c>
      <c r="AI19" s="827">
        <f t="shared" si="7"/>
        <v>0</v>
      </c>
      <c r="AJ19" s="820">
        <f t="shared" si="7"/>
        <v>0</v>
      </c>
      <c r="AK19" s="827">
        <f t="shared" si="7"/>
        <v>0</v>
      </c>
      <c r="AL19" s="827">
        <f t="shared" si="7"/>
        <v>0</v>
      </c>
      <c r="AM19" s="827">
        <f t="shared" si="7"/>
        <v>8962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665</v>
      </c>
      <c r="BD19" s="819">
        <f t="shared" si="7"/>
        <v>1894</v>
      </c>
      <c r="BE19" s="819">
        <f t="shared" si="7"/>
        <v>0</v>
      </c>
      <c r="BF19" s="829">
        <f t="shared" si="7"/>
        <v>0</v>
      </c>
      <c r="BG19" s="914">
        <f>IF(ISNUMBER(Datos!K19/Datos!J19),Datos!K19/Datos!J19," - ")</f>
        <v>1.0271428571428571</v>
      </c>
      <c r="BH19" s="914">
        <f>IF(ISNUMBER(((Datos!L19/Datos!K19)*11)/factor_trimestre),((Datos!L19/Datos!K19)*11)/factor_trimestre," - ")</f>
        <v>6.7577190542420027</v>
      </c>
      <c r="BI19" s="812">
        <f>IF(ISNUMBER(Datos!J19/Datos!I19),Datos!J19/Datos!I19," - ")</f>
        <v>0.28358450818343867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-0.47446236559139787</v>
      </c>
      <c r="BM19" s="888">
        <f>IF(ISNUMBER((Datos!P19-Datos!Q19+R19)/(Datos!R19-Datos!P19+Datos!Q19-R19)),(Datos!P19-Datos!Q19+R19)/(Datos!R19-Datos!P19+Datos!Q19-R19)," - ")</f>
        <v>2.0496470052379867E-2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1329.3333333333333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2.2236106773543889</v>
      </c>
      <c r="F21" s="550">
        <f>IF(ISNUMBER(STDEV(F8:F18)),STDEV(F8:F18),"-")</f>
        <v>1937.139385795457</v>
      </c>
      <c r="G21" s="551">
        <f>IF(ISNUMBER(STDEV(G8:G18)),STDEV(G8:G18),"-")</f>
        <v>1871.0331548817267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810.12756197198144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191.81240835774938</v>
      </c>
      <c r="BD21" s="550"/>
      <c r="BE21" s="550">
        <f>IF(ISNUMBER(STDEV(BE8:BE18)),STDEV(BE8:BE18),"-")</f>
        <v>0</v>
      </c>
      <c r="BF21" s="555">
        <f>IF(ISNUMBER(STDEV(BF8:BF18)),STDEV(BF8:BF18),"-")</f>
        <v>0</v>
      </c>
      <c r="BG21" s="774">
        <f>IF(ISNUMBER(STDEV(BG8:BG18)),STDEV(BG8:BG18),"-")</f>
        <v>0.25564161687089054</v>
      </c>
      <c r="BH21" s="775">
        <f>IF(ISNUMBER(STDEV(BH8:BH18)),STDEV(BH8:BH18),"-")</f>
        <v>7.3916162642350365</v>
      </c>
      <c r="BI21" s="248">
        <f>IF(ISNUMBER(STDEV(BI8:BI18)),STDEV(BI8:BI18),"-")</f>
        <v>9.238367796917181E-2</v>
      </c>
      <c r="BJ21" s="229" t="str">
        <f>IF(ISNUMBER(BL21/BM21),BL21/BM21," - ")</f>
        <v xml:space="preserve"> - </v>
      </c>
      <c r="BK21" s="574"/>
      <c r="BL21" s="558">
        <f>IF(ISNUMBER(STDEV(BL8:BL18)),STDEV(BL8:BL18),"-")</f>
        <v>0.27879228818781143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wzu+d87aCNaImh7zUmBBU6yttmRq5pWL1uNUUr2FZgxJBc86Bt56NEnLai7YZrJcMORpUQJ7TzRXFskqXUtNw==" saltValue="UnLwGsA1Hh8LFlFVdb9S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INCA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636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456</v>
      </c>
      <c r="AA9" s="331" t="str">
        <f>IF(ISNUMBER(IF(J_V="SI",Datos!L9,Datos!L9+Datos!AB9)-IF(Monitorios="SI",Datos!CD9,0)),
                          IF(J_V="SI",Datos!L9,Datos!L9+Datos!AB9)-IF(Monitorios="SI",Datos!CD9,0),
                          " - ")</f>
        <v xml:space="preserve"> - </v>
      </c>
      <c r="AB9" s="333"/>
      <c r="AC9" s="333"/>
      <c r="AD9" s="483"/>
      <c r="AE9" s="483">
        <f>IF(ISNUMBER(Datos!R9),Datos!R9," - ")</f>
        <v>8564</v>
      </c>
      <c r="AF9" s="228" t="str">
        <f>IF(ISNUMBER(Datos!BV9),Datos!BV9," - ")</f>
        <v xml:space="preserve"> - </v>
      </c>
      <c r="AG9" s="224" t="str">
        <f>IF(ISNUMBER(Datos!DV9),Datos!DV9," - ")</f>
        <v xml:space="preserve"> - </v>
      </c>
      <c r="AH9" s="297"/>
      <c r="AI9" s="226"/>
      <c r="AJ9" s="224">
        <f>IF(ISNUMBER(Datos!M9),Datos!M9," - ")</f>
        <v>445</v>
      </c>
      <c r="AK9" s="228">
        <f>IF(ISNUMBER(Datos!N9),Datos!N9," - ")</f>
        <v>777</v>
      </c>
      <c r="AL9" s="228" t="str">
        <f>IF(ISNUMBER(Datos!BW9),Datos!BW9," - ")</f>
        <v xml:space="preserve"> - </v>
      </c>
      <c r="AM9" s="227" t="str">
        <f>IF(ISNUMBER(Datos!BX9),Datos!BX9," - ")</f>
        <v xml:space="preserve"> - </v>
      </c>
      <c r="AN9" s="242"/>
      <c r="AO9" s="259">
        <f>IF(ISNUMBER(((NºAsuntos!I9/NºAsuntos!G9)*11)/factor_trimestre),((NºAsuntos!I9/NºAsuntos!G9)*11)/factor_trimestre," - ")</f>
        <v>8.4047991653625456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2.1469465648854963E-2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109</v>
      </c>
      <c r="G10" s="224">
        <f>IF(ISNUMBER(Datos!I10),Datos!I10," - ")</f>
        <v>109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1</v>
      </c>
      <c r="AA10" s="331">
        <f>IF(ISNUMBER(Datos!L10),Datos!L10,"-")</f>
        <v>114</v>
      </c>
      <c r="AB10" s="333"/>
      <c r="AC10" s="333"/>
      <c r="AD10" s="483"/>
      <c r="AE10" s="483">
        <f>IF(ISNUMBER(Datos!R10),Datos!R10," - ")</f>
        <v>136</v>
      </c>
      <c r="AF10" s="228" t="str">
        <f>IF(ISNUMBER(Datos!BV10),Datos!BV10," - ")</f>
        <v xml:space="preserve"> - </v>
      </c>
      <c r="AG10" s="224" t="str">
        <f>IF(ISNUMBER(Datos!DV10),Datos!DV10," - ")</f>
        <v xml:space="preserve"> - </v>
      </c>
      <c r="AH10" s="297"/>
      <c r="AI10" s="226"/>
      <c r="AJ10" s="224">
        <f>IF(ISNUMBER(Datos!M10),Datos!M10," - ")</f>
        <v>0</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1.4925373134328358E-2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109</v>
      </c>
      <c r="G13" s="897">
        <f>SUBTOTAL(9,G8:G12)</f>
        <v>109</v>
      </c>
      <c r="H13" s="907"/>
      <c r="I13" s="897">
        <f t="shared" ref="I13:N13" si="0">SUBTOTAL(9,I8:I12)</f>
        <v>0</v>
      </c>
      <c r="J13" s="866">
        <f t="shared" si="0"/>
        <v>0</v>
      </c>
      <c r="K13" s="907">
        <f t="shared" si="0"/>
        <v>0</v>
      </c>
      <c r="L13" s="907">
        <f t="shared" si="0"/>
        <v>0</v>
      </c>
      <c r="M13" s="907">
        <f t="shared" si="0"/>
        <v>0</v>
      </c>
      <c r="N13" s="907">
        <f t="shared" si="0"/>
        <v>639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457</v>
      </c>
      <c r="AA13" s="899">
        <f t="shared" si="2"/>
        <v>114</v>
      </c>
      <c r="AB13" s="899">
        <f t="shared" si="2"/>
        <v>0</v>
      </c>
      <c r="AC13" s="899">
        <f t="shared" si="2"/>
        <v>0</v>
      </c>
      <c r="AD13" s="899">
        <f t="shared" si="2"/>
        <v>0</v>
      </c>
      <c r="AE13" s="899">
        <f t="shared" si="2"/>
        <v>8700</v>
      </c>
      <c r="AF13" s="907">
        <f t="shared" si="2"/>
        <v>0</v>
      </c>
      <c r="AG13" s="907">
        <f t="shared" si="2"/>
        <v>0</v>
      </c>
      <c r="AH13" s="907">
        <f t="shared" si="2"/>
        <v>0</v>
      </c>
      <c r="AI13" s="907">
        <f t="shared" si="2"/>
        <v>0</v>
      </c>
      <c r="AJ13" s="907">
        <f t="shared" si="2"/>
        <v>445</v>
      </c>
      <c r="AK13" s="907">
        <f t="shared" si="2"/>
        <v>787</v>
      </c>
      <c r="AL13" s="907">
        <f t="shared" si="2"/>
        <v>0</v>
      </c>
      <c r="AM13" s="907">
        <f t="shared" si="2"/>
        <v>0</v>
      </c>
      <c r="AN13" s="907">
        <f t="shared" si="2"/>
        <v>0</v>
      </c>
      <c r="AO13" s="903">
        <f>IF(ISNUMBER(((NºAsuntos!I13/NºAsuntos!G13)*11)/factor_trimestre),((NºAsuntos!I13/NºAsuntos!G13)*11)/factor_trimestre," - ")</f>
        <v>8.4795018162947589</v>
      </c>
      <c r="AP13" s="909" t="str">
        <f>IF(ISNUMBER(Datos!CI13/Datos!CJ13),Datos!CI13/Datos!CJ13," - ")</f>
        <v xml:space="preserve"> - </v>
      </c>
      <c r="AQ13" s="927">
        <f t="shared" ref="AQ13:AV13" si="3">SUBTOTAL(9,AQ9:AQ12)</f>
        <v>0</v>
      </c>
      <c r="AR13" s="927">
        <f t="shared" si="3"/>
        <v>3.6394838783183323E-2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3608</v>
      </c>
      <c r="G15" s="224">
        <f>IF(ISNUMBER(IF(D_I="SI",Datos!I15,Datos!I15+Datos!AC15)),IF(D_I="SI",Datos!I15,Datos!I15+Datos!AC15)," - ")</f>
        <v>3600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1485</v>
      </c>
      <c r="Z15" s="618">
        <f>IF(ISNUMBER(Datos!Q15),Datos!Q15," - ")</f>
        <v>21</v>
      </c>
      <c r="AA15" s="331">
        <f>IF(ISNUMBER(IF(D_I="SI",Datos!L15,Datos!L15+Datos!AF15)),IF(D_I="SI",Datos!L15,Datos!L15+Datos!AF15)," - ")</f>
        <v>3948</v>
      </c>
      <c r="AB15" s="333"/>
      <c r="AC15" s="333"/>
      <c r="AD15" s="483"/>
      <c r="AE15" s="483">
        <f>IF(ISNUMBER(Datos!R15),Datos!R15," - ")</f>
        <v>235</v>
      </c>
      <c r="AF15" s="228" t="str">
        <f>IF(ISNUMBER(Datos!BV15),Datos!BV15," - ")</f>
        <v xml:space="preserve"> - </v>
      </c>
      <c r="AG15" s="224"/>
      <c r="AH15" s="297"/>
      <c r="AI15" s="226"/>
      <c r="AJ15" s="224">
        <f>IF(ISNUMBER(Datos!M15),Datos!M15," - ")</f>
        <v>159</v>
      </c>
      <c r="AK15" s="228">
        <f>IF(ISNUMBER(Datos!N15),Datos!N15," - ")</f>
        <v>962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5.3171717171717168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3</v>
      </c>
      <c r="G16" s="224">
        <f>IF(ISNUMBER(IF(D_I="SI",Datos!I16,Datos!I16+Datos!AC16)),IF(D_I="SI",Datos!I16,Datos!I16+Datos!AC16)," - ")</f>
        <v>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3</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276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270</v>
      </c>
      <c r="Z17" s="618">
        <f>IF(ISNUMBER(Datos!Q17),Datos!Q17," - ")</f>
        <v>4</v>
      </c>
      <c r="AA17" s="331">
        <f>IF(ISNUMBER(Datos!L17),Datos!L17,"-")</f>
        <v>244</v>
      </c>
      <c r="AB17" s="333"/>
      <c r="AC17" s="333"/>
      <c r="AD17" s="483"/>
      <c r="AE17" s="483">
        <f>IF(ISNUMBER(Datos!R17),Datos!R17," - ")</f>
        <v>27</v>
      </c>
      <c r="AF17" s="228" t="str">
        <f>IF(ISNUMBER(Datos!BV17),Datos!BV17," - ")</f>
        <v xml:space="preserve"> - </v>
      </c>
      <c r="AG17" s="224" t="str">
        <f>IF(ISNUMBER(Datos!DV17),Datos!DV17," - ")</f>
        <v xml:space="preserve"> - </v>
      </c>
      <c r="AH17" s="297"/>
      <c r="AI17" s="226"/>
      <c r="AJ17" s="224">
        <f>IF(ISNUMBER(Datos!M17),Datos!M17," - ")</f>
        <v>61</v>
      </c>
      <c r="AK17" s="228">
        <f>IF(ISNUMBER(Datos!N17),Datos!N17," - ")</f>
        <v>145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1.8074074074074071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3611</v>
      </c>
      <c r="G18" s="897">
        <f>SUBTOTAL(9,G15:G17)</f>
        <v>3879</v>
      </c>
      <c r="H18" s="931">
        <f>SUBTOTAL(9,H15:H17)</f>
        <v>0</v>
      </c>
      <c r="I18" s="910">
        <f>SUBTOTAL(9,I15:I17)</f>
        <v>0</v>
      </c>
      <c r="J18" s="866">
        <f>SUBTOTAL(9,J14:J17)</f>
        <v>0</v>
      </c>
      <c r="K18" s="931">
        <f t="shared" ref="K18:S18" si="4">SUBTOTAL(9,K15:K17)</f>
        <v>0</v>
      </c>
      <c r="L18" s="931">
        <f t="shared" si="4"/>
        <v>0</v>
      </c>
      <c r="M18" s="931">
        <f t="shared" si="4"/>
        <v>0</v>
      </c>
      <c r="N18" s="931">
        <f t="shared" si="4"/>
        <v>23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1755</v>
      </c>
      <c r="Z18" s="931">
        <f t="shared" si="5"/>
        <v>25</v>
      </c>
      <c r="AA18" s="931">
        <f t="shared" si="5"/>
        <v>4195</v>
      </c>
      <c r="AB18" s="931">
        <f t="shared" si="5"/>
        <v>0</v>
      </c>
      <c r="AC18" s="931">
        <f t="shared" si="5"/>
        <v>0</v>
      </c>
      <c r="AD18" s="931">
        <f t="shared" si="5"/>
        <v>0</v>
      </c>
      <c r="AE18" s="931">
        <f t="shared" si="5"/>
        <v>262</v>
      </c>
      <c r="AF18" s="931">
        <f t="shared" si="5"/>
        <v>0</v>
      </c>
      <c r="AG18" s="931">
        <f t="shared" si="5"/>
        <v>0</v>
      </c>
      <c r="AH18" s="931">
        <f t="shared" si="5"/>
        <v>0</v>
      </c>
      <c r="AI18" s="931">
        <f t="shared" si="5"/>
        <v>0</v>
      </c>
      <c r="AJ18" s="931">
        <f t="shared" si="5"/>
        <v>220</v>
      </c>
      <c r="AK18" s="931">
        <f t="shared" si="5"/>
        <v>1107</v>
      </c>
      <c r="AL18" s="931">
        <f t="shared" si="5"/>
        <v>0</v>
      </c>
      <c r="AM18" s="931">
        <f t="shared" si="5"/>
        <v>0</v>
      </c>
      <c r="AN18" s="931">
        <f t="shared" si="5"/>
        <v>0</v>
      </c>
      <c r="AO18" s="933">
        <f>IF(ISNUMBER(((NºAsuntos!I18/NºAsuntos!G18)*11)/factor_trimestre),((NºAsuntos!I18/NºAsuntos!G18)*11)/factor_trimestre," - ")</f>
        <v>4.7806267806267808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3720</v>
      </c>
      <c r="G19" s="819">
        <f t="shared" si="7"/>
        <v>3988</v>
      </c>
      <c r="H19" s="820">
        <f t="shared" si="7"/>
        <v>0</v>
      </c>
      <c r="I19" s="819">
        <f t="shared" si="7"/>
        <v>0</v>
      </c>
      <c r="J19" s="821">
        <f t="shared" si="7"/>
        <v>0</v>
      </c>
      <c r="K19" s="819">
        <f t="shared" si="7"/>
        <v>0</v>
      </c>
      <c r="L19" s="822">
        <f t="shared" si="7"/>
        <v>0</v>
      </c>
      <c r="M19" s="819">
        <f t="shared" si="7"/>
        <v>0</v>
      </c>
      <c r="N19" s="820">
        <f t="shared" si="7"/>
        <v>662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1765</v>
      </c>
      <c r="Z19" s="826">
        <f t="shared" si="8"/>
        <v>482</v>
      </c>
      <c r="AA19" s="827">
        <f t="shared" si="8"/>
        <v>4309</v>
      </c>
      <c r="AB19" s="827">
        <f t="shared" si="8"/>
        <v>0</v>
      </c>
      <c r="AC19" s="827">
        <f t="shared" si="8"/>
        <v>0</v>
      </c>
      <c r="AD19" s="828">
        <f t="shared" si="8"/>
        <v>0</v>
      </c>
      <c r="AE19" s="828">
        <f t="shared" si="8"/>
        <v>8962</v>
      </c>
      <c r="AF19" s="829">
        <f t="shared" si="8"/>
        <v>0</v>
      </c>
      <c r="AG19" s="830">
        <f t="shared" si="8"/>
        <v>0</v>
      </c>
      <c r="AH19" s="831">
        <f t="shared" si="8"/>
        <v>0</v>
      </c>
      <c r="AI19" s="829">
        <f t="shared" si="8"/>
        <v>0</v>
      </c>
      <c r="AJ19" s="819">
        <f t="shared" si="8"/>
        <v>665</v>
      </c>
      <c r="AK19" s="819">
        <f t="shared" si="8"/>
        <v>1894</v>
      </c>
      <c r="AL19" s="819">
        <f t="shared" si="8"/>
        <v>0</v>
      </c>
      <c r="AM19" s="832">
        <f t="shared" si="8"/>
        <v>0</v>
      </c>
      <c r="AN19" s="822">
        <f>IF(ISNUMBER(Datos!K19/Datos!J19),Datos!K19/Datos!J19," - ")</f>
        <v>1.0271428571428571</v>
      </c>
      <c r="AO19" s="822">
        <f>IF(ISNUMBER(FIND("06",Criterios!A8,1)),(IF(ISNUMBER(((Datos!R19/Datos!Q19)*11)/factor_trimestre),((Datos!R19/Datos!Q19)*11)/factor_trimestre," - ")),(IF(ISNUMBER(((Datos!L19/Datos!K19)*11)/factor_trimestre),((Datos!L19/Datos!K19)*11)/factor_trimestre," - ")))</f>
        <v>6.7577190542420027</v>
      </c>
      <c r="AP19" s="833" t="str">
        <f>IF(ISNUMBER(Datos!CI19/Datos!CJ19),Datos!CI19/Datos!CJ19," - ")</f>
        <v xml:space="preserve"> - </v>
      </c>
      <c r="AQ19" s="833">
        <f>IF(OR(ISNUMBER(FIND("01",Criterios!A8,1)),ISNUMBER(FIND("02",Criterios!A8,1)),ISNUMBER(FIND("03",Criterios!A8,1)),ISNUMBER(FIND("04",Criterios!A8,1))),(J19-Y19+K19)/(F19-K19),(I19-Y19+K19)/(F19-K19))</f>
        <v>-0.47446236559139787</v>
      </c>
      <c r="AR19" s="833">
        <f>IF(ISNUMBER((Datos!P19-Datos!Q19+O19)/(Datos!R19-Datos!P19+Datos!Q19-O19)),(Datos!P19-Datos!Q19+O19)/(Datos!R19-Datos!P19+Datos!Q19-O19)," - ")</f>
        <v>2.0496470052379867E-2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1329.3333333333333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1937.139385795457</v>
      </c>
      <c r="G21" s="551">
        <f>IF(ISNUMBER(STDEV(G8:G18)),STDEV(G8:G18),"-")</f>
        <v>1871.0331548817267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191.81240835774938</v>
      </c>
      <c r="AK21" s="251"/>
      <c r="AL21" s="251">
        <f>IF(ISNUMBER(STDEV(AL8:AL18)),STDEV(AL8:AL18),"-")</f>
        <v>0</v>
      </c>
      <c r="AM21" s="253">
        <f>IF(ISNUMBER(STDEV(AM8:AM18)),STDEV(AM8:AM18),"-")</f>
        <v>0</v>
      </c>
      <c r="AN21" s="538">
        <f>IF(ISNUMBER(STDEV(AN8:AN18)),STDEV(AN8:AN18),"-")</f>
        <v>0</v>
      </c>
      <c r="AO21" s="539">
        <f>IF(ISNUMBER(STDEV(AO8:AO18)),STDEV(AO8:AO18),"-")</f>
        <v>7.3918399912276502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HYZ+zR36LeaOAhefVA20U/L8zSwLQX8cHMus/JzQhxxHNijgJ8gtEIhUTm/6br/zjpjkRtDcQFJAt9bCY0j6A==" saltValue="qyx3ziIWS8Mnrm0v4rXo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3ju1wuDyoV3QiGfkGgY6uk5uNJ5JuaVHyyLHeeSLc4ViAX04GOEtpBc3cFg9jVIkwr9ViidlAm3y2mPo50MLQ==" saltValue="muNnze+3A1cH+4r6UdSp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46aeTxH548Tt6+w6q5QHD+Jxg6Dqbh0FRrnPAFb3hzufE4Y7jj6gXdWM2icuWUTsGygVKnZLF2cIw5GnNjQUw==" saltValue="33f7R80bCrNhvt4hkOc46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INCA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0.2309289050337312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0.16329139472133558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UCfzz11LsCOoTRdXEeRahK4hvgCy+HYFTJYw74+V9i/rTTdz2rAaG6A/P/1Q4BQb766kUlz7lIaq9ipJUiP1w==" saltValue="xLDfifPiWaOPYDvSnDgP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wAP+z2xCH002kyfJd2d/sxoAbRuzrvFsxK79ghbFsZng99ShOkQPVMkKgkUICH3BQIjP9gnPMxbKTZ1d+1pTdA==" saltValue="cr8bFjrtPu46Kj1D7I3T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INCA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8560</v>
      </c>
      <c r="D9" s="403">
        <f>IF(ISNUMBER(C9/Datos!BH9),C9/Datos!BH9," - ")</f>
        <v>1712</v>
      </c>
      <c r="E9" s="402">
        <f>IF(ISNUMBER(IF(J_V="SI",Datos!J9,Datos!J9+Datos!Z9)),IF(J_V="SI",Datos!J9,Datos!J9+Datos!Z9)," - ")</f>
        <v>1535</v>
      </c>
      <c r="F9" s="403">
        <f>IF(ISNUMBER(E9/B9),E9/B9," - ")</f>
        <v>307</v>
      </c>
      <c r="G9" s="402">
        <f>IF(ISNUMBER(IF(J_V="SI",Datos!K9,Datos!K9+Datos!AA9)),IF(J_V="SI",Datos!K9,Datos!K9+Datos!AA9)," - ")</f>
        <v>1917</v>
      </c>
      <c r="H9" s="403">
        <f>IF(ISNUMBER(G9/B9),G9/B9," - ")</f>
        <v>383.4</v>
      </c>
      <c r="I9" s="402">
        <f>IF(ISNUMBER(IF(J_V="SI",Datos!L9,Datos!L9+Datos!AB9)),IF(J_V="SI",Datos!L9,Datos!L9+Datos!AB9)," - ")</f>
        <v>8056</v>
      </c>
      <c r="J9" s="403">
        <f>IF(ISNUMBER(I9/B9),I9/B9," - ")</f>
        <v>1611.2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109</v>
      </c>
      <c r="D10" s="403">
        <f>IF(ISNUMBER(C10/Datos!BH10),C10/Datos!BH10," - ")</f>
        <v>109</v>
      </c>
      <c r="E10" s="402">
        <f>IF(ISNUMBER(Datos!J10),Datos!J10," - ")</f>
        <v>15</v>
      </c>
      <c r="F10" s="403">
        <f>IF(ISNUMBER(E10/B10),E10/B10," - ")</f>
        <v>15</v>
      </c>
      <c r="G10" s="402">
        <f>IF(ISNUMBER(Datos!K10),Datos!K10," - ")</f>
        <v>10</v>
      </c>
      <c r="H10" s="403">
        <f>IF(ISNUMBER(G10/B10),G10/B10," - ")</f>
        <v>10</v>
      </c>
      <c r="I10" s="402">
        <f>IF(ISNUMBER(Datos!L10),Datos!L10," - ")</f>
        <v>114</v>
      </c>
      <c r="J10" s="403">
        <f>IF(ISNUMBER(I10/B10),I10/B10," - ")</f>
        <v>114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8669</v>
      </c>
      <c r="D13" s="849" t="str">
        <f>IF(ISNUMBER(C13/Datos!BI13),C13/Datos!BI13," - ")</f>
        <v xml:space="preserve"> - </v>
      </c>
      <c r="E13" s="848">
        <f>SUBTOTAL(9,E8:E12)</f>
        <v>1550</v>
      </c>
      <c r="F13" s="849">
        <f>IF(ISNUMBER(E13/B13),E13/B13," - ")</f>
        <v>310</v>
      </c>
      <c r="G13" s="848">
        <f>SUBTOTAL(9,G8:G12)</f>
        <v>1927</v>
      </c>
      <c r="H13" s="849">
        <f>IF(ISNUMBER(G13/B13),G13/B13," - ")</f>
        <v>385.4</v>
      </c>
      <c r="I13" s="848">
        <f>SUBTOTAL(9,I8:I12)</f>
        <v>8170</v>
      </c>
      <c r="J13" s="849">
        <f>IF(ISNUMBER(I13/B13),I13/B13," - ")</f>
        <v>1634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3600</v>
      </c>
      <c r="D15" s="403">
        <f>IF(ISNUMBER(C15/Datos!BH15),C15/Datos!BH15," - ")</f>
        <v>1200</v>
      </c>
      <c r="E15" s="402">
        <f>IF(ISNUMBER(IF(D_I="SI",Datos!J15,Datos!J15+Datos!AD15)),IF(D_I="SI",Datos!J15,Datos!J15+Datos!AD15)," - ")</f>
        <v>1825</v>
      </c>
      <c r="F15" s="403">
        <f>IF(ISNUMBER(E15/B15),E15/B15," - ")</f>
        <v>608.33333333333337</v>
      </c>
      <c r="G15" s="402">
        <f>IF(ISNUMBER(IF(D_I="SI",Datos!K15,Datos!K15+Datos!AE15)),IF(D_I="SI",Datos!K15,Datos!K15+Datos!AE15)," - ")</f>
        <v>1485</v>
      </c>
      <c r="H15" s="403">
        <f>IF(ISNUMBER(G15/B15),G15/B15," - ")</f>
        <v>495</v>
      </c>
      <c r="I15" s="402">
        <f>IF(ISNUMBER(IF(D_I="SI",Datos!L15,Datos!L15+Datos!AF15)),IF(D_I="SI",Datos!L15,Datos!L15+Datos!AF15)," - ")</f>
        <v>3948</v>
      </c>
      <c r="J15" s="403">
        <f>IF(ISNUMBER(I15/B15),I15/B15," - ")</f>
        <v>1316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3</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3</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276</v>
      </c>
      <c r="D17" s="403">
        <f>IF(ISNUMBER(C17/Datos!BH17),C17/Datos!BH17," - ")</f>
        <v>276</v>
      </c>
      <c r="E17" s="402">
        <f>IF(ISNUMBER(IF(D_I="SI",Datos!J17,Datos!J17+Datos!AD17)),IF(D_I="SI",Datos!J17,Datos!J17+Datos!AD17)," - ")</f>
        <v>238</v>
      </c>
      <c r="F17" s="403">
        <f>IF(ISNUMBER(E17/B17),E17/B17," - ")</f>
        <v>238</v>
      </c>
      <c r="G17" s="402">
        <f>IF(ISNUMBER(IF(D_I="SI",Datos!K17,Datos!K17+Datos!AE17)),IF(D_I="SI",Datos!K17,Datos!K17+Datos!AE17)," - ")</f>
        <v>270</v>
      </c>
      <c r="H17" s="403">
        <f>IF(ISNUMBER(G17/B17),G17/B17," - ")</f>
        <v>270</v>
      </c>
      <c r="I17" s="402">
        <f>IF(ISNUMBER(IF(D_I="SI",Datos!L17,Datos!L17+Datos!AF17)),IF(D_I="SI",Datos!L17,Datos!L17+Datos!AF17)," - ")</f>
        <v>244</v>
      </c>
      <c r="J17" s="403">
        <f>IF(ISNUMBER(I17/B17),I17/B17," - ")</f>
        <v>244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3879</v>
      </c>
      <c r="D18" s="849" t="str">
        <f>IF(ISNUMBER(C18/Datos!BI18),C18/Datos!BI18," - ")</f>
        <v xml:space="preserve"> - </v>
      </c>
      <c r="E18" s="848">
        <f>SUBTOTAL(9,E14:E17)</f>
        <v>2063</v>
      </c>
      <c r="F18" s="849">
        <f>IF(ISNUMBER(E18/B18),E18/B18," - ")</f>
        <v>687.66666666666663</v>
      </c>
      <c r="G18" s="848">
        <f>SUBTOTAL(9,G14:G17)</f>
        <v>1755</v>
      </c>
      <c r="H18" s="849">
        <f>IF(ISNUMBER(G18/B18),G18/B18," - ")</f>
        <v>585</v>
      </c>
      <c r="I18" s="848">
        <f>SUBTOTAL(9,I14:I17)</f>
        <v>4195</v>
      </c>
      <c r="J18" s="849">
        <f>IF(ISNUMBER(I18/B18),I18/B18," - ")</f>
        <v>1398.3333333333333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12548</v>
      </c>
      <c r="D19" s="794" t="str">
        <f>IF(ISNUMBER(C19/Datos!BI19),C19/Datos!BI19," - ")</f>
        <v xml:space="preserve"> - </v>
      </c>
      <c r="E19" s="793">
        <f>SUBTOTAL(9,E9:E18)</f>
        <v>3613</v>
      </c>
      <c r="F19" s="794">
        <f>IF(ISNUMBER(E19/B19),E19/B19," - ")</f>
        <v>451.625</v>
      </c>
      <c r="G19" s="793">
        <f>SUBTOTAL(9,G9:G18)</f>
        <v>3682</v>
      </c>
      <c r="H19" s="794">
        <f>IF(ISNUMBER(G19/B19),G19/B19," - ")</f>
        <v>460.25</v>
      </c>
      <c r="I19" s="793">
        <f>SUBTOTAL(9,I9:I18)</f>
        <v>12365</v>
      </c>
      <c r="J19" s="794">
        <f>IF(ISNUMBER(I19/B19),I19/B19," - ")</f>
        <v>1545.625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8gZVL9TqDCQZQKMK2sHUM71jgB6LVh0f27FIvYBrnL4BV4CtWqiSKZ6WP94dtOdXKgWnbeoBjzQYBc9R7Qoj1Q==" saltValue="hm93EShqnv7U1CSiTugE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INCA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109</v>
      </c>
      <c r="G10" s="683">
        <f>IF(ISNUMBER(Datos!I10),Datos!I10," - ")</f>
        <v>109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114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22.8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109</v>
      </c>
      <c r="G13" s="937">
        <f t="shared" si="0"/>
        <v>109</v>
      </c>
      <c r="H13" s="937">
        <f t="shared" si="0"/>
        <v>0</v>
      </c>
      <c r="I13" s="939">
        <f t="shared" si="0"/>
        <v>0</v>
      </c>
      <c r="J13" s="938">
        <f t="shared" si="0"/>
        <v>0</v>
      </c>
      <c r="K13" s="938">
        <f t="shared" si="0"/>
        <v>0</v>
      </c>
      <c r="L13" s="940">
        <f t="shared" si="0"/>
        <v>0</v>
      </c>
      <c r="M13" s="940">
        <f t="shared" si="0"/>
        <v>0</v>
      </c>
      <c r="N13" s="938">
        <f t="shared" si="0"/>
        <v>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0</v>
      </c>
      <c r="AE13" s="938">
        <f t="shared" si="1"/>
        <v>0</v>
      </c>
      <c r="AF13" s="938">
        <f t="shared" si="1"/>
        <v>114</v>
      </c>
      <c r="AG13" s="938">
        <f t="shared" si="1"/>
        <v>0</v>
      </c>
      <c r="AH13" s="938">
        <f t="shared" si="1"/>
        <v>0</v>
      </c>
      <c r="AI13" s="938">
        <f t="shared" si="1"/>
        <v>0</v>
      </c>
      <c r="AJ13" s="938">
        <f t="shared" si="1"/>
        <v>0</v>
      </c>
      <c r="AK13" s="938">
        <f t="shared" si="1"/>
        <v>0</v>
      </c>
      <c r="AL13" s="938">
        <f t="shared" si="1"/>
        <v>0</v>
      </c>
      <c r="AM13" s="938">
        <f t="shared" si="1"/>
        <v>10</v>
      </c>
      <c r="AN13" s="938">
        <f t="shared" si="1"/>
        <v>0</v>
      </c>
      <c r="AO13" s="938">
        <f t="shared" si="1"/>
        <v>0</v>
      </c>
      <c r="AP13" s="943">
        <f>IF(ISNUMBER(((Datos!L13/Datos!K13)*11)/factor_trimestre),((Datos!L13/Datos!K13)*11)/factor_trimestre," - ")</f>
        <v>8.6434782608695659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-9.1743119266055051E-2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4.7806267806267808</v>
      </c>
      <c r="AQ18" s="943">
        <f>IF(ISNUMBER(((Datos!M18/Datos!L18)*11)/factor_trimestre),((Datos!M18/Datos!L18)*11)/factor_trimestre," - ")</f>
        <v>0.10488676996424315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-7.575757575757576E-3</v>
      </c>
      <c r="AW18" s="945">
        <f>IF(ISNUMBER((Datos!Q18-Datos!R18)/(Datos!S18-Datos!Q18+Datos!R18)),(Datos!Q18-Datos!R18)/(Datos!S18-Datos!Q18+Datos!R18)," - ")</f>
        <v>-6.4648117839607208E-2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109</v>
      </c>
      <c r="G19" s="950">
        <f t="shared" si="4"/>
        <v>109</v>
      </c>
      <c r="H19" s="950">
        <f t="shared" si="4"/>
        <v>0</v>
      </c>
      <c r="I19" s="951">
        <f t="shared" si="4"/>
        <v>0</v>
      </c>
      <c r="J19" s="952">
        <f t="shared" si="4"/>
        <v>0</v>
      </c>
      <c r="K19" s="952">
        <f t="shared" si="4"/>
        <v>0</v>
      </c>
      <c r="L19" s="952">
        <f t="shared" si="4"/>
        <v>0</v>
      </c>
      <c r="M19" s="952">
        <f t="shared" si="4"/>
        <v>0</v>
      </c>
      <c r="N19" s="951">
        <f t="shared" si="4"/>
        <v>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0</v>
      </c>
      <c r="AE19" s="956">
        <f t="shared" si="5"/>
        <v>0</v>
      </c>
      <c r="AF19" s="957">
        <f t="shared" si="5"/>
        <v>114</v>
      </c>
      <c r="AG19" s="957">
        <f t="shared" si="5"/>
        <v>0</v>
      </c>
      <c r="AH19" s="957">
        <f t="shared" si="5"/>
        <v>0</v>
      </c>
      <c r="AI19" s="957">
        <f t="shared" si="5"/>
        <v>0</v>
      </c>
      <c r="AJ19" s="958">
        <f t="shared" si="5"/>
        <v>0</v>
      </c>
      <c r="AK19" s="958">
        <f t="shared" si="5"/>
        <v>0</v>
      </c>
      <c r="AL19" s="950">
        <f t="shared" si="5"/>
        <v>0</v>
      </c>
      <c r="AM19" s="950">
        <f t="shared" si="5"/>
        <v>10</v>
      </c>
      <c r="AN19" s="950">
        <f t="shared" si="5"/>
        <v>0</v>
      </c>
      <c r="AO19" s="950">
        <f t="shared" si="5"/>
        <v>0</v>
      </c>
      <c r="AP19" s="950">
        <f>IF(ISNUMBER(((Datos!L19/Datos!K19)*11)/factor_trimestre),((Datos!L19/Datos!K19)*11)/factor_trimestre," - ")</f>
        <v>6.7577190542420027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-9.1743119266055051E-2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2.0496470052379867E-2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72.666666666666671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62.931179341669207</v>
      </c>
      <c r="G21" s="736">
        <f>IF(ISNUMBER(STDEV(G8:G18)),STDEV(G8:G18),"-")</f>
        <v>62.931179341669207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0</v>
      </c>
      <c r="AM21" s="735"/>
      <c r="AN21" s="735">
        <f>IF(ISNUMBER(STDEV(AN8:AN18)),STDEV(AN8:AN18),"-")</f>
        <v>0</v>
      </c>
      <c r="AO21" s="741">
        <f>IF(ISNUMBER(STDEV(AO8:AO18)),STDEV(AO8:AO18),"-")</f>
        <v>0</v>
      </c>
      <c r="AP21" s="778">
        <f>IF(ISNUMBER(STDEV(AP8:AP18)),STDEV(AP8:AP18),"-")</f>
        <v>9.4870661124145812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OajGhcu+eb6k006IDkeyANf7REC+4hp1UFw7HD/MgWvEGG0KMlNDCoimMRH488abSLUK4krcLVGMq7aGk1IF6w==" saltValue="SA/8snJ/t6yxZG4llXy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INCA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7kTdtce2K9MC1Gzf02wxA275deW9oewCy26Cgb7bJQfw49SHXOd0R5gNJEB/mCYp7K0ySRfvv3nwk4rFLHO4kg==" saltValue="5dANwo/rmUVBcFAX8JIN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INCA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445</v>
      </c>
      <c r="E9" s="403">
        <f t="shared" ref="E9:E13" si="0">IF(ISNUMBER(D9/B9),D9/B9," - ")</f>
        <v>89</v>
      </c>
      <c r="F9" s="402">
        <f>IF(ISNUMBER(Datos!N9),Datos!N9," - ")</f>
        <v>777</v>
      </c>
      <c r="G9" s="403">
        <f t="shared" ref="G9:G13" si="1">IF(ISNUMBER(F9/B9),F9/B9," - ")</f>
        <v>155.4</v>
      </c>
      <c r="H9" s="402">
        <f>IF(ISNUMBER(Datos!O9),Datos!O9," - ")</f>
        <v>809</v>
      </c>
      <c r="I9" s="403">
        <f>IF(ISNUMBER(H9/B9),H9/B9," - ")</f>
        <v>161.80000000000001</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10</v>
      </c>
      <c r="G10" s="403">
        <f>IF(ISNUMBER(F10/B10),F10/B10," - ")</f>
        <v>10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5</v>
      </c>
      <c r="C13" s="850">
        <f>Datos!AR13</f>
        <v>5</v>
      </c>
      <c r="D13" s="848">
        <f>SUBTOTAL(9,D9:D12)</f>
        <v>445</v>
      </c>
      <c r="E13" s="849">
        <f t="shared" si="0"/>
        <v>89</v>
      </c>
      <c r="F13" s="848">
        <f>SUBTOTAL(9,F9:F12)</f>
        <v>787</v>
      </c>
      <c r="G13" s="849">
        <f t="shared" si="1"/>
        <v>157.4</v>
      </c>
      <c r="H13" s="848">
        <f>SUBTOTAL(9,H9:H12)</f>
        <v>810</v>
      </c>
      <c r="I13" s="849">
        <f>IF(ISNUMBER(H13/B13),H13/B13," - ")</f>
        <v>162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159</v>
      </c>
      <c r="E15" s="403">
        <f t="shared" ref="E15:E18" si="3">IF(ISNUMBER(D15/B15),D15/B15," - ")</f>
        <v>53</v>
      </c>
      <c r="F15" s="402">
        <f>IF(ISNUMBER(Datos!N15),Datos!N15," - ")</f>
        <v>962</v>
      </c>
      <c r="G15" s="403">
        <f t="shared" ref="G15:G18" si="4">IF(ISNUMBER(F15/B15),F15/B15," - ")</f>
        <v>320.66666666666669</v>
      </c>
      <c r="H15" s="402">
        <f>IF(ISNUMBER(Datos!O15),Datos!O15," - ")</f>
        <v>10</v>
      </c>
      <c r="I15" s="403">
        <f t="shared" ref="I15:I17" si="5">IF(ISNUMBER(H15/B15),H15/B15," - ")</f>
        <v>3.3333333333333335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61</v>
      </c>
      <c r="E17" s="403">
        <f>IF(ISNUMBER(D17/B17),D17/B17," - ")</f>
        <v>61</v>
      </c>
      <c r="F17" s="402">
        <f>IF(ISNUMBER(Datos!N17),Datos!N17," - ")</f>
        <v>145</v>
      </c>
      <c r="G17" s="403">
        <f>IF(ISNUMBER(F17/B17),F17/B17," - ")</f>
        <v>145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220</v>
      </c>
      <c r="E18" s="849">
        <f t="shared" si="3"/>
        <v>73.333333333333329</v>
      </c>
      <c r="F18" s="848">
        <f>SUBTOTAL(9,F15:F17)</f>
        <v>1107</v>
      </c>
      <c r="G18" s="849">
        <f t="shared" si="4"/>
        <v>369</v>
      </c>
      <c r="H18" s="848">
        <f>SUBTOTAL(9,H15:H17)</f>
        <v>10</v>
      </c>
      <c r="I18" s="849">
        <f>IF(ISNUMBER(H18/B18),H18/B18," - ")</f>
        <v>3.3333333333333335</v>
      </c>
      <c r="BZ18" s="1185"/>
    </row>
    <row r="19" spans="1:78" ht="14.25" thickTop="1" thickBot="1">
      <c r="A19" s="792" t="str">
        <f>Datos!A19</f>
        <v>TOTAL JURISDICCIONES</v>
      </c>
      <c r="B19" s="793">
        <f>Datos!AP19</f>
        <v>8</v>
      </c>
      <c r="C19" s="793">
        <f>Datos!AR19</f>
        <v>8</v>
      </c>
      <c r="D19" s="793">
        <f>SUBTOTAL(9,D8:D18)</f>
        <v>665</v>
      </c>
      <c r="E19" s="794">
        <f>IF(ISNUMBER(D19/B19),D19/B19," - ")</f>
        <v>83.125</v>
      </c>
      <c r="F19" s="793">
        <f>SUBTOTAL(9,F8:F18)</f>
        <v>1894</v>
      </c>
      <c r="G19" s="794">
        <f>IF(ISNUMBER(F19/B19),F19/B19," - ")</f>
        <v>236.75</v>
      </c>
      <c r="H19" s="793">
        <f>SUBTOTAL(9,H8:H18)</f>
        <v>820</v>
      </c>
      <c r="I19" s="794">
        <f>IF(ISNUMBER(H19/B19),H19/B19," - ")</f>
        <v>102.5</v>
      </c>
    </row>
    <row r="22" spans="1:78">
      <c r="A22" s="390" t="str">
        <f>Criterios!A4</f>
        <v>Fecha Informe: 09 dic. 2025</v>
      </c>
    </row>
    <row r="27" spans="1:78">
      <c r="A27" s="413"/>
    </row>
  </sheetData>
  <sheetProtection algorithmName="SHA-512" hashValue="hxaD0C390pst58OCSjrQb5Z4pxI833QEYOMyeJYLyrhmxcItkV2nLcYOjg6D/rCqw2jonRg3XJUHVIVCfE46uQ==" saltValue="qPJ/owNOCTfytc2bv21x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INCA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636</v>
      </c>
      <c r="C9" s="433">
        <f>IF(ISNUMBER(Datos!Q9),Datos!Q9," - ")</f>
        <v>456</v>
      </c>
      <c r="D9" s="407">
        <f>IF(ISNUMBER(Datos!R9),Datos!R9," - ")</f>
        <v>8564</v>
      </c>
    </row>
    <row r="10" spans="1:4">
      <c r="A10" s="401" t="str">
        <f>Datos!A10</f>
        <v>Jdos. Violencia contra la mujer/Secc Viol. TI.</v>
      </c>
      <c r="B10" s="432">
        <f>IF(ISNUMBER(Datos!P10),Datos!P10," - ")</f>
        <v>3</v>
      </c>
      <c r="C10" s="433">
        <f>IF(ISNUMBER(Datos!Q10),Datos!Q10," - ")</f>
        <v>1</v>
      </c>
      <c r="D10" s="407">
        <f>IF(ISNUMBER(Datos!R10),Datos!R10," - ")</f>
        <v>136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639</v>
      </c>
      <c r="C13" s="852">
        <f>SUBTOTAL(9,C9:C12)</f>
        <v>457</v>
      </c>
      <c r="D13" s="850">
        <f>SUBTOTAL(9,D9:D12)</f>
        <v>8700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18</v>
      </c>
      <c r="C15" s="433">
        <f>IF(ISNUMBER(Datos!Q15),Datos!Q15," - ")</f>
        <v>21</v>
      </c>
      <c r="D15" s="407">
        <f>IF(ISNUMBER(Datos!R15),Datos!R15," - ")</f>
        <v>235</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5</v>
      </c>
      <c r="C17" s="433">
        <f>IF(ISNUMBER(Datos!Q17),Datos!Q17," - ")</f>
        <v>4</v>
      </c>
      <c r="D17" s="407">
        <f>IF(ISNUMBER(Datos!R17),Datos!R17," - ")</f>
        <v>27</v>
      </c>
    </row>
    <row r="18" spans="1:4" ht="14.25" thickTop="1" thickBot="1">
      <c r="A18" s="847" t="str">
        <f>Datos!A18</f>
        <v>TOTAL</v>
      </c>
      <c r="B18" s="848">
        <f>SUBTOTAL(9,B15:B17)</f>
        <v>23</v>
      </c>
      <c r="C18" s="852">
        <f>SUBTOTAL(9,C15:C17)</f>
        <v>25</v>
      </c>
      <c r="D18" s="850">
        <f>SUBTOTAL(9,D15:D17)</f>
        <v>262</v>
      </c>
    </row>
    <row r="19" spans="1:4" ht="16.5" customHeight="1" thickTop="1" thickBot="1">
      <c r="A19" s="792" t="str">
        <f>Datos!A19</f>
        <v>TOTAL JURISDICCIONES</v>
      </c>
      <c r="B19" s="797">
        <f>SUBTOTAL(9,B8:B18)</f>
        <v>662</v>
      </c>
      <c r="C19" s="798">
        <f>SUBTOTAL(9,C8:C18)</f>
        <v>482</v>
      </c>
      <c r="D19" s="799">
        <f>SUBTOTAL(9,D8:D18)</f>
        <v>8962</v>
      </c>
    </row>
    <row r="20" spans="1:4" ht="7.5" customHeight="1"/>
    <row r="21" spans="1:4" ht="6" customHeight="1"/>
    <row r="22" spans="1:4">
      <c r="A22" s="390" t="str">
        <f>Criterios!A4</f>
        <v>Fecha Informe: 09 dic. 2025</v>
      </c>
    </row>
    <row r="27" spans="1:4">
      <c r="A27" s="413"/>
    </row>
  </sheetData>
  <sheetProtection algorithmName="SHA-512" hashValue="fuzoIelO7QHV1d/9KefFzqq4u0W2QKC+8aiZsefGUM99kk7Eg/mLb/4t2JDOHzRKK4iUSirv4Uw+CCyY8Ed5Dg==" saltValue="naB8A3p7XrOECgbdpNX4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INCA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0.27513779234321467</v>
      </c>
      <c r="C9" s="455">
        <f>IF(ISNUMBER(
   IF(J_V="SI",(Datos!J9-Datos!T9)/Datos!T9,(Datos!J9+Datos!Z9-(Datos!T9+Datos!AH9))/(Datos!T9+Datos!AH9))
     ),IF(J_V="SI",(Datos!J9-Datos!T9)/Datos!T9,(Datos!J9+Datos!Z9-(Datos!T9+Datos!AH9))/(Datos!T9+Datos!AH9))," - ")</f>
        <v>-0.26590148254423723</v>
      </c>
      <c r="D9" s="455">
        <f>IF(ISNUMBER(
   IF(J_V="SI",(Datos!K9-Datos!U9)/Datos!U9,(Datos!K9+Datos!AA9-(Datos!U9+Datos!AI9))/(Datos!U9+Datos!AI9))
     ),IF(J_V="SI",(Datos!K9-Datos!U9)/Datos!U9,(Datos!K9+Datos!AA9-(Datos!U9+Datos!AI9))/(Datos!U9+Datos!AI9))," - ")</f>
        <v>0.22257653061224489</v>
      </c>
      <c r="E9" s="455">
        <f>IF(ISNUMBER(
   IF(J_V="SI",(Datos!L9-Datos!V9)/Datos!V9,(Datos!L9+Datos!AB9-(Datos!V9+Datos!AJ9))/(Datos!V9+Datos!AJ9))
     ),IF(J_V="SI",(Datos!L9-Datos!V9)/Datos!V9,(Datos!L9+Datos!AB9-(Datos!V9+Datos!AJ9))/(Datos!V9+Datos!AJ9))," - ")</f>
        <v>0.14806897534558927</v>
      </c>
      <c r="F9" s="455">
        <f>IF(ISNUMBER((Datos!M9-Datos!W9)/Datos!W9),(Datos!M9-Datos!W9)/Datos!W9," - ")</f>
        <v>0.2292817679558011</v>
      </c>
      <c r="G9" s="456">
        <f>IF(ISNUMBER((Datos!N9-Datos!X9)/Datos!X9),(Datos!N9-Datos!X9)/Datos!X9," - ")</f>
        <v>0.19354838709677419</v>
      </c>
      <c r="H9" s="454">
        <f>IF(ISNUMBER(((NºAsuntos!G9/NºAsuntos!E9)-Datos!BD9)/Datos!BD9),((NºAsuntos!G9/NºAsuntos!E9)-Datos!BD9)/Datos!BD9," - ")</f>
        <v>0.66541206873628933</v>
      </c>
      <c r="I9" s="455">
        <f>IF(ISNUMBER(((NºAsuntos!I9/NºAsuntos!G9)-Datos!BE9)/Datos!BE9),((NºAsuntos!I9/NºAsuntos!G9)-Datos!BE9)/Datos!BE9," - ")</f>
        <v>-6.0943060332872279E-2</v>
      </c>
      <c r="J9" s="460">
        <f>IF(ISNUMBER((('Resol  Asuntos'!D9/NºAsuntos!G9)-Datos!BF9)/Datos!BF9),(('Resol  Asuntos'!D9/NºAsuntos!G9)-Datos!BF9)/Datos!BF9," - ")</f>
        <v>-0.44088265154447198</v>
      </c>
      <c r="K9" s="461">
        <f>IF(ISNUMBER((((NºAsuntos!C9+NºAsuntos!E9)/NºAsuntos!G9)-Datos!BG9)/Datos!BG9),(((NºAsuntos!C9+NºAsuntos!E9)/NºAsuntos!G9)-Datos!BG9)/Datos!BG9," - ")</f>
        <v>-6.2113607486709313E-2</v>
      </c>
    </row>
    <row r="10" spans="1:11" ht="21">
      <c r="A10" s="401" t="str">
        <f>Datos!A10</f>
        <v>Jdos. Violencia contra la mujer/Secc Viol. TI.</v>
      </c>
      <c r="B10" s="454">
        <f>IF(ISNUMBER((Datos!I10-Datos!S10)/Datos!S10),(Datos!I10-Datos!S10)/Datos!S10," - ")</f>
        <v>0.14736842105263157</v>
      </c>
      <c r="C10" s="455">
        <f>IF(ISNUMBER((Datos!J10-Datos!T10)/Datos!T10),(Datos!J10-Datos!T10)/Datos!T10," - ")</f>
        <v>0.36363636363636365</v>
      </c>
      <c r="D10" s="455">
        <f>IF(ISNUMBER((Datos!K10-Datos!U10)/Datos!U10),(Datos!K10-Datos!U10)/Datos!U10," - ")</f>
        <v>-0.16666666666666666</v>
      </c>
      <c r="E10" s="455">
        <f>IF(ISNUMBER((Datos!L10-Datos!V10)/Datos!V10),(Datos!L10-Datos!V10)/Datos!V10," - ")</f>
        <v>0.21276595744680851</v>
      </c>
      <c r="F10" s="455">
        <f>IF(ISNUMBER((Datos!M10-Datos!W10)/Datos!W10),(Datos!M10-Datos!W10)/Datos!W10," - ")</f>
        <v>-1</v>
      </c>
      <c r="G10" s="456">
        <f>IF(ISNUMBER((Datos!N10-Datos!X10)/Datos!X10),(Datos!N10-Datos!X10)/Datos!X10," - ")</f>
        <v>2.3333333333333335</v>
      </c>
      <c r="H10" s="454">
        <f>IF(ISNUMBER(((NºAsuntos!G10/NºAsuntos!E10)-Datos!BD10)/Datos!BD10),((NºAsuntos!G10/NºAsuntos!E10)-Datos!BD10)/Datos!BD10," - ")</f>
        <v>-0.3888888888888889</v>
      </c>
      <c r="I10" s="455">
        <f>IF(ISNUMBER(((NºAsuntos!I10/NºAsuntos!G10)-Datos!BE10)/Datos!BE10),((NºAsuntos!I10/NºAsuntos!G10)-Datos!BE10)/Datos!BE10," - ")</f>
        <v>0.45531914893617031</v>
      </c>
      <c r="J10" s="460">
        <f>IF(ISNUMBER((('Resol  Asuntos'!D10/NºAsuntos!G10)-Datos!BF10)/Datos!BF10),(('Resol  Asuntos'!D10/NºAsuntos!G10)-Datos!BF10)/Datos!BF10," - ")</f>
        <v>-1</v>
      </c>
      <c r="K10" s="461">
        <f>IF(ISNUMBER((((NºAsuntos!C10+NºAsuntos!E10)/NºAsuntos!G10)-Datos!BG10)/Datos!BG10),(((NºAsuntos!C10+NºAsuntos!E10)/NºAsuntos!G10)-Datos!BG10)/Datos!BG10," - ")</f>
        <v>0.40377358490566034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0.2733548766157462</v>
      </c>
      <c r="C13" s="854">
        <f>IF(ISNUMBER(
   IF(J_V="SI",(Datos!J13-Datos!T13)/Datos!T13,(Datos!J13+Datos!Z13-(Datos!T13+Datos!AH13))/(Datos!T13+Datos!AH13))
     ),IF(J_V="SI",(Datos!J13-Datos!T13)/Datos!T13,(Datos!J13+Datos!Z13-(Datos!T13+Datos!AH13))/(Datos!T13+Datos!AH13))," - ")</f>
        <v>-0.2626070409134158</v>
      </c>
      <c r="D13" s="854">
        <f>IF(ISNUMBER(
   IF(J_V="SI",(Datos!K13-Datos!U13)/Datos!U13,(Datos!K13+Datos!AA13-(Datos!U13+Datos!AI13))/(Datos!U13+Datos!AI13))
     ),IF(J_V="SI",(Datos!K13-Datos!U13)/Datos!U13,(Datos!K13+Datos!AA13-(Datos!U13+Datos!AI13))/(Datos!U13+Datos!AI13))," - ")</f>
        <v>0.21962025316455697</v>
      </c>
      <c r="E13" s="854">
        <f>IF(ISNUMBER(
   IF(J_V="SI",(Datos!L13-Datos!V13)/Datos!V13,(Datos!L13+Datos!AB13-(Datos!V13+Datos!AJ13))/(Datos!V13+Datos!AJ13))
     ),IF(J_V="SI",(Datos!L13-Datos!V13)/Datos!V13,(Datos!L13+Datos!AB13-(Datos!V13+Datos!AJ13))/(Datos!V13+Datos!AJ13))," - ")</f>
        <v>0.14892420194065531</v>
      </c>
      <c r="F13" s="855">
        <f>IF(ISNUMBER((Datos!M13-Datos!W13)/Datos!W13),(Datos!M13-Datos!W13)/Datos!W13," - ")</f>
        <v>0.19946091644204852</v>
      </c>
      <c r="G13" s="856">
        <f>IF(ISNUMBER((Datos!N13-Datos!X13)/Datos!X13),(Datos!N13-Datos!X13)/Datos!X13," - ")</f>
        <v>0.20336391437308868</v>
      </c>
      <c r="H13" s="856">
        <f>IF(ISNUMBER(((NºAsuntos!G13/NºAsuntos!E13)-Datos!BD13)/Datos!BD13),((NºAsuntos!G13/NºAsuntos!E13)-Datos!BD13)/Datos!BD13," - ")</f>
        <v>0.65396243364638629</v>
      </c>
      <c r="I13" s="856">
        <f>IF(ISNUMBER(((NºAsuntos!I13/NºAsuntos!G13)-Datos!BE13)/Datos!BE13),((NºAsuntos!I13/NºAsuntos!G13)-Datos!BE13)/Datos!BE13," - ")</f>
        <v>-5.7965625808907309E-2</v>
      </c>
      <c r="J13" s="856">
        <f>IF(ISNUMBER((('Resol  Asuntos'!D13/NºAsuntos!G13)-Datos!BF13)/Datos!BF13),(('Resol  Asuntos'!D13/NºAsuntos!G13)-Datos!BF13)/Datos!BF13," - ")</f>
        <v>-0.44717019704046168</v>
      </c>
      <c r="K13" s="856">
        <f>IF(ISNUMBER((((NºAsuntos!C13+NºAsuntos!E13)/NºAsuntos!G13)-Datos!BG13)/Datos!BG13),(((NºAsuntos!C13+NºAsuntos!E13)/NºAsuntos!G13)-Datos!BG13)/Datos!BG13," - ")</f>
        <v>-5.9614189522509832E-2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0.14905841046919885</v>
      </c>
      <c r="C15" s="455">
        <f>IF(ISNUMBER(
   IF(D_I="SI",(Datos!J15-Datos!T15)/Datos!T15,(Datos!J15+Datos!AD15-(Datos!T15+Datos!AL15))/(Datos!T15+Datos!AL15))
     ),IF(D_I="SI",(Datos!J15-Datos!T15)/Datos!T15,(Datos!J15+Datos!AD15-(Datos!T15+Datos!AL15))/(Datos!T15+Datos!AL15))," - ")</f>
        <v>-2.562733582487987E-2</v>
      </c>
      <c r="D15" s="455">
        <f>IF(ISNUMBER(
   IF(D_I="SI",(Datos!K15-Datos!U15)/Datos!U15,(Datos!K15+Datos!AE15-(Datos!U15+Datos!AM15))/(Datos!U15+Datos!AM15))
     ),IF(D_I="SI",(Datos!K15-Datos!U15)/Datos!U15,(Datos!K15+Datos!AE15-(Datos!U15+Datos!AM15))/(Datos!U15+Datos!AM15))," - ")</f>
        <v>-0.1</v>
      </c>
      <c r="E15" s="455">
        <f>IF(ISNUMBER(
   IF(D_I="SI",(Datos!L15-Datos!V15)/Datos!V15,(Datos!L15+Datos!AF15-(Datos!V15+Datos!AN15))/(Datos!V15+Datos!AN15))
     ),IF(D_I="SI",(Datos!L15-Datos!V15)/Datos!V15,(Datos!L15+Datos!AF15-(Datos!V15+Datos!AN15))/(Datos!V15+Datos!AN15))," - ")</f>
        <v>0.17569982132221559</v>
      </c>
      <c r="F15" s="455">
        <f>IF(ISNUMBER((Datos!M15-Datos!W15)/Datos!W15),(Datos!M15-Datos!W15)/Datos!W15," - ")</f>
        <v>-0.11173184357541899</v>
      </c>
      <c r="G15" s="456">
        <f>IF(ISNUMBER((Datos!N15-Datos!X15)/Datos!X15),(Datos!N15-Datos!X15)/Datos!X15," - ")</f>
        <v>-2.0366598778004074E-2</v>
      </c>
      <c r="H15" s="454">
        <f>IF(ISNUMBER(((NºAsuntos!G15/NºAsuntos!E15)-Datos!BD15)/Datos!BD15),((NºAsuntos!G15/NºAsuntos!E15)-Datos!BD15)/Datos!BD15," - ")</f>
        <v>-7.632876712328765E-2</v>
      </c>
      <c r="I15" s="455">
        <f>IF(ISNUMBER(((NºAsuntos!I15/NºAsuntos!G15)-Datos!BE15)/Datos!BE15),((NºAsuntos!I15/NºAsuntos!G15)-Datos!BE15)/Datos!BE15," - ")</f>
        <v>0.30633313480246166</v>
      </c>
      <c r="J15" s="460">
        <f>IF(ISNUMBER((('Resol  Asuntos'!D15/NºAsuntos!G15)-Datos!BF15)/Datos!BF15),(('Resol  Asuntos'!D15/NºAsuntos!G15)-Datos!BF15)/Datos!BF15," - ")</f>
        <v>-1.3035381750465633E-2</v>
      </c>
      <c r="K15" s="461">
        <f>IF(ISNUMBER((((NºAsuntos!C15+NºAsuntos!E15)/NºAsuntos!G15)-Datos!BG15)/Datos!BG15),(((NºAsuntos!C15+NºAsuntos!E15)/NºAsuntos!G15)-Datos!BG15)/Datos!BG15," - ")</f>
        <v>0.20411062280818562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-5.8020477815699661E-2</v>
      </c>
      <c r="C17" s="455">
        <f>IF(ISNUMBER(
   IF(D_I="SI",(Datos!J17-Datos!T17)/Datos!T17,(Datos!J17+Datos!AD17-(Datos!T17+Datos!AL17))/(Datos!T17+Datos!AL17))
     ),IF(D_I="SI",(Datos!J17-Datos!T17)/Datos!T17,(Datos!J17+Datos!AD17-(Datos!T17+Datos!AL17))/(Datos!T17+Datos!AL17))," - ")</f>
        <v>-8.3333333333333332E-3</v>
      </c>
      <c r="D17" s="455">
        <f>IF(ISNUMBER(
   IF(D_I="SI",(Datos!K17-Datos!U17)/Datos!U17,(Datos!K17+Datos!AE17-(Datos!U17+Datos!AM17))/(Datos!U17+Datos!AM17))
     ),IF(D_I="SI",(Datos!K17-Datos!U17)/Datos!U17,(Datos!K17+Datos!AE17-(Datos!U17+Datos!AM17))/(Datos!U17+Datos!AM17))," - ")</f>
        <v>0.24423963133640553</v>
      </c>
      <c r="E17" s="455">
        <f>IF(ISNUMBER(
   IF(D_I="SI",(Datos!L17-Datos!V17)/Datos!V17,(Datos!L17+Datos!AF17-(Datos!V17+Datos!AN17))/(Datos!V17+Datos!AN17))
     ),IF(D_I="SI",(Datos!L17-Datos!V17)/Datos!V17,(Datos!L17+Datos!AF17-(Datos!V17+Datos!AN17))/(Datos!V17+Datos!AN17))," - ")</f>
        <v>-0.22784810126582278</v>
      </c>
      <c r="F17" s="455">
        <f>IF(ISNUMBER((Datos!M17-Datos!W17)/Datos!W17),(Datos!M17-Datos!W17)/Datos!W17," - ")</f>
        <v>0</v>
      </c>
      <c r="G17" s="456">
        <f>IF(ISNUMBER((Datos!N17-Datos!X17)/Datos!X17),(Datos!N17-Datos!X17)/Datos!X17," - ")</f>
        <v>0.25</v>
      </c>
      <c r="H17" s="454">
        <f>IF(ISNUMBER(((NºAsuntos!G17/NºAsuntos!E17)-Datos!BD17)/Datos!BD17),((NºAsuntos!G17/NºAsuntos!E17)-Datos!BD17)/Datos!BD17," - ")</f>
        <v>0.25469542655771982</v>
      </c>
      <c r="I17" s="455">
        <f>IF(ISNUMBER(((NºAsuntos!I17/NºAsuntos!G17)-Datos!BE17)/Datos!BE17),((NºAsuntos!I17/NºAsuntos!G17)-Datos!BE17)/Datos!BE17," - ")</f>
        <v>-0.37941865916549461</v>
      </c>
      <c r="J17" s="460">
        <f>IF(ISNUMBER((('Resol  Asuntos'!D17/NºAsuntos!G17)-Datos!BF17)/Datos!BF17),(('Resol  Asuntos'!D17/NºAsuntos!G17)-Datos!BF17)/Datos!BF17," - ")</f>
        <v>-0.19629629629629633</v>
      </c>
      <c r="K17" s="461">
        <f>IF(ISNUMBER((((NºAsuntos!C17+NºAsuntos!E17)/NºAsuntos!G17)-Datos!BG17)/Datos!BG17),(((NºAsuntos!C17+NºAsuntos!E17)/NºAsuntos!G17)-Datos!BG17)/Datos!BG17," - ")</f>
        <v>-0.22494614689736639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0.13123359580052493</v>
      </c>
      <c r="C18" s="854">
        <f>IF(ISNUMBER(
   IF(Criterios!B14="SI",(Datos!J18-Datos!T18)/Datos!T18,(Datos!J18+Datos!AD18-(Datos!T18+Datos!AL18))/(Datos!T18+Datos!AL18))
     ),IF(Criterios!B14="SI",(Datos!J18-Datos!T18)/Datos!T18,(Datos!J18+Datos!AD18-(Datos!T18+Datos!AL18))/(Datos!T18+Datos!AL18))," - ")</f>
        <v>-2.3663038334122102E-2</v>
      </c>
      <c r="D18" s="854">
        <f>IF(ISNUMBER(
   IF(Criterios!B14="SI",(Datos!K18-Datos!U18)/Datos!U18,(Datos!K18+Datos!AE18-(Datos!U18+Datos!AM18))/(Datos!U18+Datos!AM18))
     ),IF(Criterios!B14="SI",(Datos!K18-Datos!U18)/Datos!U18,(Datos!K18+Datos!AE18-(Datos!U18+Datos!AM18))/(Datos!U18+Datos!AM18))," - ")</f>
        <v>-5.9989287627209426E-2</v>
      </c>
      <c r="E18" s="854">
        <f>IF(ISNUMBER(
   IF(Criterios!B14="SI",(Datos!L18-Datos!V18)/Datos!V18,(Datos!L18+Datos!AF18-(Datos!V18+Datos!AN18))/(Datos!V18+Datos!AN18))
     ),IF(Criterios!B14="SI",(Datos!L18-Datos!V18)/Datos!V18,(Datos!L18+Datos!AF18-(Datos!V18+Datos!AN18))/(Datos!V18+Datos!AN18))," - ")</f>
        <v>0.1408757138971988</v>
      </c>
      <c r="F18" s="855">
        <f>IF(ISNUMBER((Datos!M18-Datos!W18)/Datos!W18),(Datos!M18-Datos!W18)/Datos!W18," - ")</f>
        <v>-8.3333333333333329E-2</v>
      </c>
      <c r="G18" s="856">
        <f>IF(ISNUMBER((Datos!N18-Datos!X18)/Datos!X18),(Datos!N18-Datos!X18)/Datos!X18," - ")</f>
        <v>8.1967213114754103E-3</v>
      </c>
      <c r="H18" s="856">
        <f>IF(ISNUMBER(((NºAsuntos!G18/NºAsuntos!E18)-Datos!BD18)/Datos!BD18),((NºAsuntos!G18/NºAsuntos!E18)-Datos!BD18)/Datos!BD18," - ")</f>
        <v>-3.7206672203729259E-2</v>
      </c>
      <c r="I18" s="856">
        <f>IF(ISNUMBER(((NºAsuntos!I18/NºAsuntos!G18)-Datos!BE18)/Datos!BE18),((NºAsuntos!I18/NºAsuntos!G18)-Datos!BE18)/Datos!BE18," - ")</f>
        <v>0.2136837366644275</v>
      </c>
      <c r="J18" s="856">
        <f>IF(ISNUMBER((('Resol  Asuntos'!D18/NºAsuntos!G18)-Datos!BF18)/Datos!BF18),(('Resol  Asuntos'!D18/NºAsuntos!G18)-Datos!BF18)/Datos!BF18," - ")</f>
        <v>-2.4833808167141418E-2</v>
      </c>
      <c r="K18" s="856">
        <f>IF(ISNUMBER((((NºAsuntos!C18+NºAsuntos!E18)/NºAsuntos!G18)-Datos!BG18)/Datos!BG18),(((NºAsuntos!C18+NºAsuntos!E18)/NºAsuntos!G18)-Datos!BG18)/Datos!BG18," - ")</f>
        <v>0.14059988423034242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0.22574973136661131</v>
      </c>
      <c r="C19" s="801">
        <f>IF(ISNUMBER(
   IF(J_V="SI",(Datos!J19-Datos!T19)/Datos!T19,(Datos!J19+Datos!Z19-(Datos!T19+Datos!AH19))/(Datos!T19+Datos!AH19))
     ),IF(J_V="SI",(Datos!J19-Datos!T19)/Datos!T19,(Datos!J19+Datos!Z19-(Datos!T19+Datos!AH19))/(Datos!T19+Datos!AH19))," - ")</f>
        <v>-0.1428232502965599</v>
      </c>
      <c r="D19" s="801">
        <f>IF(ISNUMBER(
   IF(J_V="SI",(Datos!K19-Datos!U19)/Datos!U19,(Datos!K19+Datos!AA19-(Datos!U19+Datos!AI19))/(Datos!U19+Datos!AI19))
     ),IF(J_V="SI",(Datos!K19-Datos!U19)/Datos!U19,(Datos!K19+Datos!AA19-(Datos!U19+Datos!AI19))/(Datos!U19+Datos!AI19))," - ")</f>
        <v>6.8175224833188275E-2</v>
      </c>
      <c r="E19" s="801">
        <f>IF(ISNUMBER(
   IF(J_V="SI",(Datos!L19-Datos!V19)/Datos!V19,(Datos!L19+Datos!AB19-(Datos!V19+Datos!AJ19))/(Datos!V19+Datos!AJ19))
     ),IF(J_V="SI",(Datos!L19-Datos!V19)/Datos!V19,(Datos!L19+Datos!AB19-(Datos!V19+Datos!AJ19))/(Datos!V19+Datos!AJ19))," - ")</f>
        <v>0.14618094178717092</v>
      </c>
      <c r="F19" s="802">
        <f>IF(ISNUMBER((Datos!M19-Datos!W19)/Datos!W19),(Datos!M19-Datos!W19)/Datos!W19," - ")</f>
        <v>8.8379705400982E-2</v>
      </c>
      <c r="G19" s="803">
        <f>IF(ISNUMBER((Datos!N19-Datos!X19)/Datos!X19),(Datos!N19-Datos!X19)/Datos!X19," - ")</f>
        <v>8.1050228310502279E-2</v>
      </c>
      <c r="H19" s="804">
        <f>IF(ISNUMBER((Tasas!B19-Datos!BD19)/Datos!BD19),(Tasas!B19-Datos!BD19)/Datos!BD19," - ")</f>
        <v>0.24615515435147758</v>
      </c>
      <c r="I19" s="805">
        <f>IF(ISNUMBER((Tasas!C19-Datos!BE19)/Datos!BE19),(Tasas!C19-Datos!BE19)/Datos!BE19," - ")</f>
        <v>7.3027079397169611E-2</v>
      </c>
      <c r="J19" s="806">
        <f>IF(ISNUMBER((Tasas!D19-Datos!BF19)/Datos!BF19),(Tasas!D19-Datos!BF19)/Datos!BF19," - ")</f>
        <v>-0.30826996197718642</v>
      </c>
      <c r="K19" s="806">
        <f>IF(ISNUMBER((Tasas!E19-Datos!BG19)/Datos!BG19),(Tasas!E19-Datos!BG19)/Datos!BG19," - ")</f>
        <v>4.6882105974667736E-2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PRAU9ZvdMwanN8f1j33olZmHyR4yCSDlKnHMepNDCrX0tux1NpGLxeTSLtEkMaR+nYIHqYnuZ0onZKCCamSkg==" saltValue="3FyeMeGdfnGVl5DrdGyp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INCA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1.2488599348534202</v>
      </c>
      <c r="C9" s="442">
        <f>IF(ISNUMBER(NºAsuntos!I9/NºAsuntos!G9),NºAsuntos!I9/NºAsuntos!G9," - ")</f>
        <v>4.2023995826812728</v>
      </c>
      <c r="D9" s="443">
        <f>IF(ISNUMBER('Resol  Asuntos'!D9/NºAsuntos!G9),'Resol  Asuntos'!D9/NºAsuntos!G9," - ")</f>
        <v>0.23213354199269692</v>
      </c>
      <c r="E9" s="444">
        <f>IF(ISNUMBER((NºAsuntos!C9+NºAsuntos!E9)/NºAsuntos!G9),(NºAsuntos!C9+NºAsuntos!E9)/NºAsuntos!G9," - ")</f>
        <v>5.2660406885758997</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11.4</v>
      </c>
      <c r="D10" s="443">
        <f>IF(ISNUMBER('Resol  Asuntos'!D10/NºAsuntos!G10),'Resol  Asuntos'!D10/NºAsuntos!G10," - ")</f>
        <v>0</v>
      </c>
      <c r="E10" s="444">
        <f>IF(ISNUMBER((NºAsuntos!C10+NºAsuntos!E10)/NºAsuntos!G10),(NºAsuntos!C10+NºAsuntos!E10)/NºAsuntos!G10," - ")</f>
        <v>12.4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1.2432258064516128</v>
      </c>
      <c r="C13" s="858">
        <f>IF(ISNUMBER(NºAsuntos!I13/NºAsuntos!G13),NºAsuntos!I13/NºAsuntos!G13," - ")</f>
        <v>4.2397509081473794</v>
      </c>
      <c r="D13" s="859">
        <f>IF(ISNUMBER('Resol  Asuntos'!D13/NºAsuntos!G13),'Resol  Asuntos'!D13/NºAsuntos!G13," - ")</f>
        <v>0.2309289050337312</v>
      </c>
      <c r="E13" s="860">
        <f>IF(ISNUMBER((NºAsuntos!C13+NºAsuntos!E13)/NºAsuntos!G13),(NºAsuntos!C13+NºAsuntos!E13)/NºAsuntos!G13," - ")</f>
        <v>5.3030617540217957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0.81369863013698629</v>
      </c>
      <c r="C15" s="442">
        <f>IF(ISNUMBER(NºAsuntos!I15/NºAsuntos!G15),NºAsuntos!I15/NºAsuntos!G15," - ")</f>
        <v>2.6585858585858584</v>
      </c>
      <c r="D15" s="443">
        <f>IF(ISNUMBER('Resol  Asuntos'!D15/NºAsuntos!G15),'Resol  Asuntos'!D15/NºAsuntos!G15," - ")</f>
        <v>0.10707070707070707</v>
      </c>
      <c r="E15" s="444">
        <f>IF(ISNUMBER((NºAsuntos!C15+NºAsuntos!E15)/NºAsuntos!G15),(NºAsuntos!C15+NºAsuntos!E15)/NºAsuntos!G15," - ")</f>
        <v>3.6531986531986531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1.134453781512605</v>
      </c>
      <c r="C17" s="442">
        <f>IF(ISNUMBER(NºAsuntos!I17/NºAsuntos!G17),NºAsuntos!I17/NºAsuntos!G17," - ")</f>
        <v>0.90370370370370368</v>
      </c>
      <c r="D17" s="443">
        <f>IF(ISNUMBER('Resol  Asuntos'!D17/NºAsuntos!G17),'Resol  Asuntos'!D17/NºAsuntos!G17," - ")</f>
        <v>0.22592592592592592</v>
      </c>
      <c r="E17" s="444">
        <f>IF(ISNUMBER((NºAsuntos!C17+NºAsuntos!E17)/NºAsuntos!G17),(NºAsuntos!C17+NºAsuntos!E17)/NºAsuntos!G17," - ")</f>
        <v>1.9037037037037037</v>
      </c>
      <c r="G17" s="462"/>
    </row>
    <row r="18" spans="1:7" ht="14.25" thickTop="1" thickBot="1">
      <c r="A18" s="847" t="str">
        <f>Datos!A18</f>
        <v>TOTAL</v>
      </c>
      <c r="B18" s="857">
        <f>IF(ISNUMBER(NºAsuntos!G18/NºAsuntos!E18),NºAsuntos!G18/NºAsuntos!E18," - ")</f>
        <v>0.85070285991274841</v>
      </c>
      <c r="C18" s="858">
        <f>IF(ISNUMBER(NºAsuntos!I18/NºAsuntos!G18),NºAsuntos!I18/NºAsuntos!G18," - ")</f>
        <v>2.3903133903133904</v>
      </c>
      <c r="D18" s="861">
        <f>IF(ISNUMBER('Resol  Asuntos'!D18/NºAsuntos!G18),'Resol  Asuntos'!D18/NºAsuntos!G18," - ")</f>
        <v>0.12535612535612536</v>
      </c>
      <c r="E18" s="860">
        <f>IF(ISNUMBER((NºAsuntos!C18+NºAsuntos!E18)/NºAsuntos!G18),(NºAsuntos!C18+NºAsuntos!E18)/NºAsuntos!G18," - ")</f>
        <v>3.3857549857549856</v>
      </c>
      <c r="G18" s="462"/>
    </row>
    <row r="19" spans="1:7" ht="15.75" customHeight="1" thickTop="1" thickBot="1">
      <c r="A19" s="792" t="str">
        <f>Datos!A19</f>
        <v>TOTAL JURISDICCIONES</v>
      </c>
      <c r="B19" s="807">
        <f>IF(ISNUMBER(NºAsuntos!G19/NºAsuntos!E19),NºAsuntos!G19/NºAsuntos!E19," - ")</f>
        <v>1.0190977027401051</v>
      </c>
      <c r="C19" s="808">
        <f>IF(ISNUMBER(NºAsuntos!I19/NºAsuntos!G19),NºAsuntos!I19/NºAsuntos!G19," - ")</f>
        <v>3.3582292232482347</v>
      </c>
      <c r="D19" s="809">
        <f>IF(ISNUMBER('Resol  Asuntos'!D19/NºAsuntos!G19),'Resol  Asuntos'!D19/NºAsuntos!G19," - ")</f>
        <v>0.1806083650190114</v>
      </c>
      <c r="E19" s="810">
        <f>IF(ISNUMBER((NºAsuntos!C19+NºAsuntos!E19)/NºAsuntos!G19),(NºAsuntos!C19+NºAsuntos!E19)/NºAsuntos!G19," - ")</f>
        <v>4.3891906572514934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NKqugSqz3Aost/XWWdML9xKSdZ5oHRTmSR33bPx9x7oJa3CGswcdrmsk1mKzhBRcBHQqPwfnzf8AtDc2DX8jA==" saltValue="8PCYZ5JuePcy+v/l+6Z0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INCA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636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456</v>
      </c>
      <c r="Y9" s="333">
        <f>SUM(W9:X9)</f>
        <v>456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8564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445</v>
      </c>
      <c r="AJ9" s="228" t="str">
        <f>IF(ISNUMBER(Datos!BW9),Datos!BW9," - ")</f>
        <v xml:space="preserve"> - </v>
      </c>
      <c r="AK9" s="227" t="str">
        <f>IF(ISNUMBER(Datos!BX9),Datos!BX9," - ")</f>
        <v xml:space="preserve"> - </v>
      </c>
      <c r="AL9" s="242">
        <f>IF(ISNUMBER(NºAsuntos!G9/NºAsuntos!E9),NºAsuntos!G9/NºAsuntos!E9," - ")</f>
        <v>1.2488599348534202</v>
      </c>
      <c r="AM9" s="259">
        <f>IF(ISNUMBER(((NºAsuntos!I9/NºAsuntos!G9)*11)/factor_trimestre),((NºAsuntos!I9/NºAsuntos!G9)*11)/factor_trimestre," - ")</f>
        <v>8.4047991653625456</v>
      </c>
      <c r="AN9" s="243">
        <f>IF(ISNUMBER('Resol  Asuntos'!D9/NºAsuntos!G9),'Resol  Asuntos'!D9/NºAsuntos!G9," - ")</f>
        <v>0.23213354199269692</v>
      </c>
      <c r="AO9" s="244">
        <f>IF(ISNUMBER((NºAsuntos!C9+NºAsuntos!E9)/NºAsuntos!G9),(NºAsuntos!C9+NºAsuntos!E9)/NºAsuntos!G9," - ")</f>
        <v>5.2660406885758997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109</v>
      </c>
      <c r="G10" s="332">
        <f>IF(ISNUMBER(Datos!I10),Datos!I10," - ")</f>
        <v>109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1</v>
      </c>
      <c r="Y10" s="333">
        <f t="shared" ref="Y10:Y12" si="0">SUM(W10:X10)</f>
        <v>11</v>
      </c>
      <c r="Z10" s="334" t="str">
        <f>IF(ISNUMBER(Datos!CC10),Datos!CC10," - ")</f>
        <v xml:space="preserve"> - </v>
      </c>
      <c r="AA10" s="331">
        <f>IF(ISNUMBER(Datos!L10),Datos!L10,"-")</f>
        <v>114</v>
      </c>
      <c r="AB10" s="333">
        <f>IF(ISNUMBER(Datos!R10),Datos!R10," - ")</f>
        <v>136</v>
      </c>
      <c r="AC10" s="333">
        <f t="shared" ref="AC10:AC12" si="1">IF(ISNUMBER(AA10+AB10),AA10+AB10," - ")</f>
        <v>250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22.8</v>
      </c>
      <c r="AN10" s="243">
        <f>IF(ISNUMBER('Resol  Asuntos'!D10/NºAsuntos!G10),'Resol  Asuntos'!D10/NºAsuntos!G10," - ")</f>
        <v>0</v>
      </c>
      <c r="AO10" s="244">
        <f>IF(ISNUMBER((NºAsuntos!C10+NºAsuntos!E10)/NºAsuntos!G10),(NºAsuntos!C10+NºAsuntos!E10)/NºAsuntos!G10," - ")</f>
        <v>12.4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109</v>
      </c>
      <c r="G13" s="865">
        <f t="shared" si="3"/>
        <v>109</v>
      </c>
      <c r="H13" s="864">
        <f t="shared" si="3"/>
        <v>0</v>
      </c>
      <c r="I13" s="866">
        <f t="shared" si="3"/>
        <v>0</v>
      </c>
      <c r="J13" s="866">
        <f t="shared" si="3"/>
        <v>0</v>
      </c>
      <c r="K13" s="866">
        <f t="shared" si="3"/>
        <v>0</v>
      </c>
      <c r="L13" s="866">
        <f t="shared" si="3"/>
        <v>639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457</v>
      </c>
      <c r="Y13" s="867">
        <f t="shared" si="4"/>
        <v>467</v>
      </c>
      <c r="Z13" s="867">
        <f t="shared" si="4"/>
        <v>0</v>
      </c>
      <c r="AA13" s="867">
        <f t="shared" si="4"/>
        <v>114</v>
      </c>
      <c r="AB13" s="867">
        <f t="shared" si="4"/>
        <v>8700</v>
      </c>
      <c r="AC13" s="867">
        <f t="shared" si="4"/>
        <v>250</v>
      </c>
      <c r="AD13" s="867">
        <f t="shared" si="4"/>
        <v>0</v>
      </c>
      <c r="AE13" s="871">
        <f t="shared" si="4"/>
        <v>0</v>
      </c>
      <c r="AF13" s="864">
        <f t="shared" si="4"/>
        <v>0</v>
      </c>
      <c r="AG13" s="872">
        <f t="shared" si="4"/>
        <v>0</v>
      </c>
      <c r="AH13" s="869">
        <f t="shared" si="4"/>
        <v>0</v>
      </c>
      <c r="AI13" s="864">
        <f t="shared" si="4"/>
        <v>445</v>
      </c>
      <c r="AJ13" s="866">
        <f t="shared" si="4"/>
        <v>0</v>
      </c>
      <c r="AK13" s="869">
        <f>SUBTOTAL(9,AK9:AK12)</f>
        <v>0</v>
      </c>
      <c r="AL13" s="873">
        <f>IF(ISNUMBER(NºAsuntos!G13/NºAsuntos!E13),NºAsuntos!G13/NºAsuntos!E13," - ")</f>
        <v>1.2432258064516128</v>
      </c>
      <c r="AM13" s="873">
        <f>IF(ISNUMBER(((NºAsuntos!I13/NºAsuntos!G13)*11)/factor_trimestre),((NºAsuntos!I13/NºAsuntos!G13)*11)/factor_trimestre," - ")</f>
        <v>8.4795018162947589</v>
      </c>
      <c r="AN13" s="874">
        <f>IF(ISNUMBER('Resol  Asuntos'!D13/NºAsuntos!G13),'Resol  Asuntos'!D13/NºAsuntos!G13," - ")</f>
        <v>0.2309289050337312</v>
      </c>
      <c r="AO13" s="875">
        <f>IF(ISNUMBER((NºAsuntos!C13+NºAsuntos!E13)/NºAsuntos!G13),(NºAsuntos!C13+NºAsuntos!E13)/NºAsuntos!G13," - ")</f>
        <v>5.3030617540217957</v>
      </c>
      <c r="AP13" s="876" t="str">
        <f t="shared" si="2"/>
        <v xml:space="preserve"> - </v>
      </c>
      <c r="AQ13" s="876">
        <f>IF(ISNUMBER((H13-W13+K13)/(F13)),(H13-W13+K13)/(F13)," - ")</f>
        <v>-9.1743119266055051E-2</v>
      </c>
      <c r="AR13" s="877">
        <f>IF(ISNUMBER((Datos!P13-Datos!Q13)/(Datos!R13-Datos!P13+Datos!Q13)),(Datos!P13-Datos!Q13)/(Datos!R13-Datos!P13+Datos!Q13)," - ")</f>
        <v>2.1366517961962903E-2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3608</v>
      </c>
      <c r="G15" s="332">
        <f>IF(ISNUMBER(IF(D_I="SI",Datos!I15,Datos!I15+Datos!AC15)),IF(D_I="SI",Datos!I15,Datos!I15+Datos!AC15)," - ")</f>
        <v>3600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1485</v>
      </c>
      <c r="X15" s="225">
        <f>IF(ISNUMBER(Datos!Q15),Datos!Q15," - ")</f>
        <v>21</v>
      </c>
      <c r="Y15" s="333">
        <f>SUM(W15)</f>
        <v>1485</v>
      </c>
      <c r="Z15" s="334" t="str">
        <f>IF(ISNUMBER(Datos!CC15),Datos!CC15," - ")</f>
        <v xml:space="preserve"> - </v>
      </c>
      <c r="AA15" s="331">
        <f>IF(ISNUMBER(IF(D_I="SI",Datos!L15,Datos!L15+Datos!AF15)),IF(D_I="SI",Datos!L15,Datos!L15+Datos!AF15)," - ")</f>
        <v>3948</v>
      </c>
      <c r="AB15" s="333">
        <f>IF(ISNUMBER(Datos!R15),Datos!R15," - ")</f>
        <v>235</v>
      </c>
      <c r="AC15" s="333">
        <f t="shared" ref="AC15:AC17" si="6">IF(ISNUMBER(AA15+AB15),AA15+AB15," - ")</f>
        <v>4183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159</v>
      </c>
      <c r="AJ15" s="230" t="str">
        <f>IF(ISNUMBER(Datos!BW15),Datos!BW15," - ")</f>
        <v xml:space="preserve"> - </v>
      </c>
      <c r="AK15" s="231" t="str">
        <f>IF(ISNUMBER(Datos!BX15),Datos!BX15," - ")</f>
        <v xml:space="preserve"> - </v>
      </c>
      <c r="AL15" s="242">
        <f>IF(ISNUMBER(NºAsuntos!G15/NºAsuntos!E15),NºAsuntos!G15/NºAsuntos!E15," - ")</f>
        <v>0.81369863013698629</v>
      </c>
      <c r="AM15" s="259">
        <f>IF(ISNUMBER(((NºAsuntos!I15/NºAsuntos!G15)*11)/factor_trimestre),((NºAsuntos!I15/NºAsuntos!G15)*11)/factor_trimestre," - ")</f>
        <v>5.3171717171717168</v>
      </c>
      <c r="AN15" s="243">
        <f>IF(ISNUMBER('Resol  Asuntos'!D15/NºAsuntos!G15),'Resol  Asuntos'!D15/NºAsuntos!G15," - ")</f>
        <v>0.10707070707070707</v>
      </c>
      <c r="AO15" s="244">
        <f>IF(ISNUMBER((NºAsuntos!C15+NºAsuntos!E15)/NºAsuntos!G15),(NºAsuntos!C15+NºAsuntos!E15)/NºAsuntos!G15," - ")</f>
        <v>3.6531986531986531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3</v>
      </c>
      <c r="G16" s="332">
        <f>IF(ISNUMBER(IF(D_I="SI",Datos!I16,Datos!I16+Datos!AC16)),IF(D_I="SI",Datos!I16,Datos!I16+Datos!AC16)," - ")</f>
        <v>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3</v>
      </c>
      <c r="AB16" s="333">
        <f>IF(ISNUMBER(Datos!R16),Datos!R16," - ")</f>
        <v>0</v>
      </c>
      <c r="AC16" s="333">
        <f t="shared" si="6"/>
        <v>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270</v>
      </c>
      <c r="X17" s="225">
        <f>IF(ISNUMBER(Datos!Q17),Datos!Q17," - ")</f>
        <v>4</v>
      </c>
      <c r="Y17" s="333">
        <f t="shared" si="7"/>
        <v>274</v>
      </c>
      <c r="Z17" s="334" t="str">
        <f>IF(ISNUMBER(Datos!CC17),Datos!CC17," - ")</f>
        <v xml:space="preserve"> - </v>
      </c>
      <c r="AA17" s="331">
        <f>IF(ISNUMBER(Datos!L17),Datos!L17,"-")</f>
        <v>244</v>
      </c>
      <c r="AB17" s="333">
        <f>IF(ISNUMBER(Datos!R17),Datos!R17," - ")</f>
        <v>27</v>
      </c>
      <c r="AC17" s="333">
        <f t="shared" si="6"/>
        <v>271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61</v>
      </c>
      <c r="AJ17" s="230" t="str">
        <f>IF(ISNUMBER(Datos!BW17),Datos!BW17," - ")</f>
        <v xml:space="preserve"> - </v>
      </c>
      <c r="AK17" s="231" t="str">
        <f>IF(ISNUMBER(Datos!BX17),Datos!BX17," - ")</f>
        <v xml:space="preserve"> - </v>
      </c>
      <c r="AL17" s="242">
        <f>IF(ISNUMBER(NºAsuntos!G17/NºAsuntos!E17),NºAsuntos!G17/NºAsuntos!E17," - ")</f>
        <v>1.134453781512605</v>
      </c>
      <c r="AM17" s="259">
        <f>IF(ISNUMBER(((NºAsuntos!I17/NºAsuntos!G17)*11)/factor_trimestre),((NºAsuntos!I17/NºAsuntos!G17)*11)/factor_trimestre," - ")</f>
        <v>1.8074074074074071</v>
      </c>
      <c r="AN17" s="243">
        <f>IF(ISNUMBER('Resol  Asuntos'!D17/NºAsuntos!G17),'Resol  Asuntos'!D17/NºAsuntos!G17," - ")</f>
        <v>0.22592592592592592</v>
      </c>
      <c r="AO17" s="244">
        <f>IF(ISNUMBER((NºAsuntos!C17+NºAsuntos!E17)/NºAsuntos!G17),(NºAsuntos!C17+NºAsuntos!E17)/NºAsuntos!G17," - ")</f>
        <v>1.9037037037037037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3611</v>
      </c>
      <c r="G18" s="865">
        <f>SUBTOTAL(9,G15:G17)</f>
        <v>3879</v>
      </c>
      <c r="H18" s="864">
        <f t="shared" ref="H18:O18" si="10">SUBTOTAL(9,H14:H17)</f>
        <v>0</v>
      </c>
      <c r="I18" s="866">
        <f t="shared" si="10"/>
        <v>0</v>
      </c>
      <c r="J18" s="866">
        <f t="shared" si="10"/>
        <v>0</v>
      </c>
      <c r="K18" s="866">
        <f t="shared" si="10"/>
        <v>0</v>
      </c>
      <c r="L18" s="866">
        <f t="shared" si="10"/>
        <v>23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1755</v>
      </c>
      <c r="X18" s="866">
        <f t="shared" si="11"/>
        <v>25</v>
      </c>
      <c r="Y18" s="867">
        <f t="shared" si="11"/>
        <v>1759</v>
      </c>
      <c r="Z18" s="867">
        <f t="shared" si="11"/>
        <v>0</v>
      </c>
      <c r="AA18" s="867">
        <f t="shared" si="11"/>
        <v>4195</v>
      </c>
      <c r="AB18" s="867">
        <f t="shared" si="11"/>
        <v>262</v>
      </c>
      <c r="AC18" s="867">
        <f t="shared" si="11"/>
        <v>4457</v>
      </c>
      <c r="AD18" s="867">
        <f t="shared" si="11"/>
        <v>0</v>
      </c>
      <c r="AE18" s="871">
        <f t="shared" si="11"/>
        <v>0</v>
      </c>
      <c r="AF18" s="864">
        <f t="shared" si="11"/>
        <v>0</v>
      </c>
      <c r="AG18" s="872">
        <f t="shared" si="11"/>
        <v>0</v>
      </c>
      <c r="AH18" s="869">
        <f t="shared" si="11"/>
        <v>0</v>
      </c>
      <c r="AI18" s="864">
        <f t="shared" si="11"/>
        <v>220</v>
      </c>
      <c r="AJ18" s="866">
        <f t="shared" si="11"/>
        <v>0</v>
      </c>
      <c r="AK18" s="869">
        <f t="shared" si="11"/>
        <v>0</v>
      </c>
      <c r="AL18" s="873">
        <f>IF(ISNUMBER(NºAsuntos!G18/NºAsuntos!E18),NºAsuntos!G18/NºAsuntos!E18," - ")</f>
        <v>0.85070285991274841</v>
      </c>
      <c r="AM18" s="873">
        <f>IF(ISNUMBER(((NºAsuntos!I18/NºAsuntos!G18)*11)/factor_trimestre),((NºAsuntos!I18/NºAsuntos!G18)*11)/factor_trimestre," - ")</f>
        <v>4.7806267806267808</v>
      </c>
      <c r="AN18" s="874">
        <f>IF(ISNUMBER('Resol  Asuntos'!D18/NºAsuntos!G18),'Resol  Asuntos'!D18/NºAsuntos!G18," - ")</f>
        <v>0.12535612535612536</v>
      </c>
      <c r="AO18" s="875">
        <f>IF(ISNUMBER((NºAsuntos!C18+NºAsuntos!E18)/NºAsuntos!G18),(NºAsuntos!C18+NºAsuntos!E18)/NºAsuntos!G18," - ")</f>
        <v>3.3857549857549856</v>
      </c>
      <c r="AP18" s="876" t="str">
        <f t="shared" si="2"/>
        <v xml:space="preserve"> - </v>
      </c>
      <c r="AQ18" s="876">
        <f>IF(ISNUMBER((H18-W18+K18)/(F18)),(H18-W18+K18)/(F18)," - ")</f>
        <v>-0.48601495430628633</v>
      </c>
      <c r="AR18" s="877">
        <f>IF(ISNUMBER((Datos!P18-Datos!Q18)/(Datos!R18-Datos!P18+Datos!Q18)),(Datos!P18-Datos!Q18)/(Datos!R18-Datos!P18+Datos!Q18)," - ")</f>
        <v>-7.575757575757576E-3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3720</v>
      </c>
      <c r="G19" s="820">
        <f t="shared" si="13"/>
        <v>3988</v>
      </c>
      <c r="H19" s="819">
        <f t="shared" si="13"/>
        <v>0</v>
      </c>
      <c r="I19" s="821">
        <f t="shared" si="13"/>
        <v>0</v>
      </c>
      <c r="J19" s="821">
        <f t="shared" si="13"/>
        <v>0</v>
      </c>
      <c r="K19" s="880">
        <f t="shared" si="13"/>
        <v>0</v>
      </c>
      <c r="L19" s="821">
        <f t="shared" si="13"/>
        <v>662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1765</v>
      </c>
      <c r="X19" s="820">
        <f t="shared" si="14"/>
        <v>482</v>
      </c>
      <c r="Y19" s="827">
        <f t="shared" si="14"/>
        <v>2226</v>
      </c>
      <c r="Z19" s="827">
        <f t="shared" si="14"/>
        <v>0</v>
      </c>
      <c r="AA19" s="827">
        <f t="shared" si="14"/>
        <v>4309</v>
      </c>
      <c r="AB19" s="827">
        <f t="shared" si="14"/>
        <v>8962</v>
      </c>
      <c r="AC19" s="827">
        <f t="shared" si="14"/>
        <v>4707</v>
      </c>
      <c r="AD19" s="827">
        <f t="shared" si="14"/>
        <v>0</v>
      </c>
      <c r="AE19" s="829">
        <f t="shared" si="14"/>
        <v>0</v>
      </c>
      <c r="AF19" s="830">
        <f t="shared" si="14"/>
        <v>0</v>
      </c>
      <c r="AG19" s="831">
        <f t="shared" si="14"/>
        <v>0</v>
      </c>
      <c r="AH19" s="829">
        <f t="shared" si="14"/>
        <v>0</v>
      </c>
      <c r="AI19" s="819">
        <f t="shared" si="14"/>
        <v>665</v>
      </c>
      <c r="AJ19" s="819">
        <f t="shared" si="14"/>
        <v>0</v>
      </c>
      <c r="AK19" s="829">
        <f t="shared" si="14"/>
        <v>0</v>
      </c>
      <c r="AL19" s="883">
        <f>IF(ISNUMBER(NºAsuntos!G19/NºAsuntos!E19),NºAsuntos!G19/NºAsuntos!E19," - ")</f>
        <v>1.0190977027401051</v>
      </c>
      <c r="AM19" s="884">
        <f>IF(ISNUMBER(((NºAsuntos!I19/NºAsuntos!G19)*11)/factor_trimestre),((NºAsuntos!I19/NºAsuntos!G19)*11)/factor_trimestre," - ")</f>
        <v>6.7164584464964694</v>
      </c>
      <c r="AN19" s="884">
        <f>IF(ISNUMBER('Resol  Asuntos'!D19/NºAsuntos!G19),'Resol  Asuntos'!D19/NºAsuntos!G19," - ")</f>
        <v>0.1806083650190114</v>
      </c>
      <c r="AO19" s="885">
        <f>IF(ISNUMBER((NºAsuntos!C19+NºAsuntos!E19)/NºAsuntos!G19),(NºAsuntos!C19+NºAsuntos!E19)/NºAsuntos!G19," - ")</f>
        <v>4.3891906572514934</v>
      </c>
      <c r="AP19" s="886" t="str">
        <f t="shared" si="2"/>
        <v xml:space="preserve"> - </v>
      </c>
      <c r="AQ19" s="887">
        <f>IF(OR(ISNUMBER(FIND("01",Criterios!A8,1)),ISNUMBER(FIND("02",Criterios!A8,1)),ISNUMBER(FIND("03",Criterios!A8,1)),ISNUMBER(FIND("04",Criterios!A8,1))),(I19-W19+K19)/(F19-K19),(H19-W19+K19)/(F19-K19))</f>
        <v>-0.47446236559139787</v>
      </c>
      <c r="AR19" s="888">
        <f>IF(ISNUMBER((Datos!P19-Datos!Q19)/(Datos!R19-Datos!P19+Datos!Q19)),(Datos!P19-Datos!Q19)/(Datos!R19-Datos!P19+Datos!Q19)," - ")</f>
        <v>2.0496470052379867E-2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1329.3333333333333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2.2236106773543889</v>
      </c>
      <c r="F21" s="251">
        <f>IF(ISNUMBER(STDEV(F8:F18)),STDEV(F8:F18),"-")</f>
        <v>1937.139385795457</v>
      </c>
      <c r="G21" s="252">
        <f>IF(ISNUMBER(STDEV(G8:G18)),STDEV(G8:G18),"-")</f>
        <v>1871.0331548817267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810.12756197198144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191.81240835774938</v>
      </c>
      <c r="AJ21" s="251">
        <f t="shared" si="18"/>
        <v>0</v>
      </c>
      <c r="AK21" s="253">
        <f t="shared" si="18"/>
        <v>0</v>
      </c>
      <c r="AL21" s="248">
        <f t="shared" si="18"/>
        <v>0.24778107630948079</v>
      </c>
      <c r="AM21" s="249">
        <f t="shared" si="18"/>
        <v>7.3918399912276502</v>
      </c>
      <c r="AN21" s="249">
        <f t="shared" si="18"/>
        <v>9.3737892227814895E-2</v>
      </c>
      <c r="AO21" s="250">
        <f t="shared" si="18"/>
        <v>3.6964901753833437</v>
      </c>
      <c r="AP21" s="290" t="str">
        <f t="shared" si="18"/>
        <v>-</v>
      </c>
      <c r="AQ21" s="291">
        <f t="shared" si="18"/>
        <v>0.27879228818781143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TjOhEnYjYluvEc4EmcCJQvDnSXhiDo7S6L9zISTvjEiTNKvB8fiqbnzDjUWTXudo3rUcNXWLI+TKFZSebmGxA==" saltValue="c1k+1yMtQekXOiA8GETF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INCA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0.2292817679558011</v>
      </c>
      <c r="I9" s="349">
        <f>IF(ISNUMBER((Tasas!C9-Datos!BE9)/Datos!BE9),(Tasas!C9-Datos!BE9)/Datos!BE9," - ")</f>
        <v>-6.0943060332872279E-2</v>
      </c>
      <c r="J9" s="348">
        <f>IF(ISNUMBER((Tasas!D9-Datos!BF9)/Datos!BF9),(Tasas!D9-Datos!BF9)/Datos!BF9," - ")</f>
        <v>-0.44088265154447198</v>
      </c>
      <c r="K9" s="350">
        <f>IF(ISNUMBER((Tasas!E9-Datos!BG9)/Datos!BG9),(Tasas!E9-Datos!BG9)/Datos!BG9," - ")</f>
        <v>-6.2113607486709313E-2</v>
      </c>
      <c r="M9" t="e">
        <f>IF(Monitorios="SI",Datos!CE9,0)</f>
        <v>#REF!</v>
      </c>
      <c r="N9" t="e">
        <f>IF(Monitorios="SI",Datos!CF9,0)</f>
        <v>#REF!</v>
      </c>
      <c r="O9" t="e">
        <f>IF(Monitorios="SI",Datos!CG9,0)</f>
        <v>#REF!</v>
      </c>
      <c r="P9" t="e">
        <f>IF(Monitorios="SI",Datos!CH9,0)</f>
        <v>#REF!</v>
      </c>
      <c r="Q9">
        <f>IF(J_V="SI",0,Datos!AG9)</f>
        <v>172</v>
      </c>
      <c r="R9">
        <f>IF(J_V="SI",0,Datos!AH9)</f>
        <v>93</v>
      </c>
      <c r="S9">
        <f>IF(J_V="SI",0,Datos!AI9)</f>
        <v>101</v>
      </c>
      <c r="T9">
        <f>IF(J_V="SI",0,Datos!AJ9)</f>
        <v>164</v>
      </c>
    </row>
    <row r="10" spans="2:20" ht="14.25">
      <c r="B10" s="274" t="s">
        <v>246</v>
      </c>
      <c r="C10" s="7" t="str">
        <f>Datos!A10</f>
        <v>Jdos. Violencia contra la mujer/Secc Viol. TI.</v>
      </c>
      <c r="D10" s="351">
        <f>IF(ISNUMBER((Datos!I10-Datos!S10)/Datos!S10),(Datos!I10-Datos!S10)/Datos!S10," - ")</f>
        <v>0.14736842105263157</v>
      </c>
      <c r="E10" s="347">
        <f>IF(ISNUMBER((Datos!J10-Datos!T10)/Datos!T10),(Datos!J10-Datos!T10)/Datos!T10," - ")</f>
        <v>0.36363636363636365</v>
      </c>
      <c r="F10" s="347">
        <f>IF(ISNUMBER((Datos!K10-Datos!U10)/Datos!U10),(Datos!K10-Datos!U10)/Datos!U10," - ")</f>
        <v>-0.16666666666666666</v>
      </c>
      <c r="G10" s="348">
        <f>IF(ISNUMBER((Datos!L10-Datos!V10)/Datos!V10),(Datos!L10-Datos!V10)/Datos!V10," - ")</f>
        <v>0.21276595744680851</v>
      </c>
      <c r="H10" s="229">
        <f>IF(ISNUMBER((Datos!M10-Datos!W10)/Datos!W10),(Datos!M10-Datos!W10)/Datos!W10," - ")</f>
        <v>-1</v>
      </c>
      <c r="I10" s="349">
        <f>IF(ISNUMBER((Tasas!C10-Datos!BE10)/Datos!BE10),(Tasas!C10-Datos!BE10)/Datos!BE10," - ")</f>
        <v>0.45531914893617031</v>
      </c>
      <c r="J10" s="348">
        <f>IF(ISNUMBER((Tasas!D10-Datos!BF10)/Datos!BF10),(Tasas!D10-Datos!BF10)/Datos!BF10," - ")</f>
        <v>-1</v>
      </c>
      <c r="K10" s="350">
        <f>IF(ISNUMBER((Tasas!E10-Datos!BG10)/Datos!BG10),(Tasas!E10-Datos!BG10)/Datos!BG10," - ")</f>
        <v>0.40377358490566034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0.19946091644204852</v>
      </c>
      <c r="I13" s="356">
        <f>IF(ISNUMBER((Tasas!C13-Datos!BE13)/Datos!BE13),(Tasas!C13-Datos!BE13)/Datos!BE13," - ")</f>
        <v>-5.7965625808907309E-2</v>
      </c>
      <c r="J13" s="354">
        <f>IF(ISNUMBER((Tasas!D13-Datos!BF13)/Datos!BF13),(Tasas!D13-Datos!BF13)/Datos!BF13," - ")</f>
        <v>-0.44717019704046168</v>
      </c>
      <c r="K13" s="357">
        <f>IF(ISNUMBER((Tasas!E13-Datos!BG13)/Datos!BG13),(Tasas!E13-Datos!BG13)/Datos!BG13," - ")</f>
        <v>-5.9614189522509832E-2</v>
      </c>
      <c r="M13" t="e">
        <f>IF(Monitorios="SI",Datos!CE13,0)</f>
        <v>#REF!</v>
      </c>
      <c r="N13" t="e">
        <f>IF(Monitorios="SI",Datos!CF13,0)</f>
        <v>#REF!</v>
      </c>
      <c r="O13" t="e">
        <f>IF(Monitorios="SI",Datos!CG13,0)</f>
        <v>#REF!</v>
      </c>
      <c r="P13" t="e">
        <f>IF(Monitorios="SI",Datos!CH13,0)</f>
        <v>#REF!</v>
      </c>
      <c r="Q13">
        <f>IF(J_V="SI",0,Datos!AG13)</f>
        <v>172</v>
      </c>
      <c r="R13">
        <f>IF(J_V="SI",0,Datos!AH13)</f>
        <v>93</v>
      </c>
      <c r="S13">
        <f>IF(J_V="SI",0,Datos!AI13)</f>
        <v>101</v>
      </c>
      <c r="T13">
        <f>IF(J_V="SI",0,Datos!AJ13)</f>
        <v>164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0.14905841046919885</v>
      </c>
      <c r="E15" s="347">
        <f>IF(ISNUMBER(
   IF(D_I="SI",(Datos!J15-Datos!T15)/Datos!T15,(Datos!J15+Datos!AD15-(Datos!T15+Datos!AL15))/(Datos!T15+Datos!AL15))
     ),IF(D_I="SI",(Datos!J15-Datos!T15)/Datos!T15,(Datos!J15+Datos!AD15-(Datos!T15+Datos!AL15))/(Datos!T15+Datos!AL15))," - ")</f>
        <v>-2.562733582487987E-2</v>
      </c>
      <c r="F15" s="347">
        <f>IF(ISNUMBER(
   IF(D_I="SI",(Datos!K15-Datos!U15)/Datos!U15,(Datos!K15+Datos!AE15-(Datos!U15+Datos!AM15))/(Datos!U15+Datos!AM15))
     ),IF(D_I="SI",(Datos!K15-Datos!U15)/Datos!U15,(Datos!K15+Datos!AE15-(Datos!U15+Datos!AM15))/(Datos!U15+Datos!AM15))," - ")</f>
        <v>-0.1</v>
      </c>
      <c r="G15" s="348">
        <f>IF(ISNUMBER(
   IF(D_I="SI",(Datos!L15-Datos!V15)/Datos!V15,(Datos!L15+Datos!AF15-(Datos!V15+Datos!AN15))/(Datos!V15+Datos!AN15))
     ),IF(D_I="SI",(Datos!L15-Datos!V15)/Datos!V15,(Datos!L15+Datos!AF15-(Datos!V15+Datos!AN15))/(Datos!V15+Datos!AN15))," - ")</f>
        <v>0.17569982132221559</v>
      </c>
      <c r="H15" s="229">
        <f>IF(ISNUMBER((Datos!M15-Datos!W15)/Datos!W15),(Datos!M15-Datos!W15)/Datos!W15," - ")</f>
        <v>-0.11173184357541899</v>
      </c>
      <c r="I15" s="349">
        <f>IF(ISNUMBER((Tasas!C15-Datos!BE15)/Datos!BE15),(Tasas!C15-Datos!BE15)/Datos!BE15," - ")</f>
        <v>0.30633313480246166</v>
      </c>
      <c r="J15" s="348">
        <f>IF(ISNUMBER((Tasas!D15-Datos!BF15)/Datos!BF15),(Tasas!D15-Datos!BF15)/Datos!BF15," - ")</f>
        <v>-1.3035381750465633E-2</v>
      </c>
      <c r="K15" s="350">
        <f>IF(ISNUMBER((Tasas!E15-Datos!BG15)/Datos!BG15),(Tasas!E15-Datos!BG15)/Datos!BG15," - ")</f>
        <v>0.20411062280818562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-5.8020477815699661E-2</v>
      </c>
      <c r="E17" s="347">
        <f>IF(ISNUMBER(
   IF(D_I="SI",(Datos!J17-Datos!T17)/Datos!T17,(Datos!J17+Datos!AD17-(Datos!T17+Datos!AL17))/(Datos!T17+Datos!AL17))
     ),IF(D_I="SI",(Datos!J17-Datos!T17)/Datos!T17,(Datos!J17+Datos!AD17-(Datos!T17+Datos!AL17))/(Datos!T17+Datos!AL17))," - ")</f>
        <v>-8.3333333333333332E-3</v>
      </c>
      <c r="F17" s="347">
        <f>IF(ISNUMBER(
   IF(D_I="SI",(Datos!K17-Datos!U17)/Datos!U17,(Datos!K17+Datos!AE17-(Datos!U17+Datos!AM17))/(Datos!U17+Datos!AM17))
     ),IF(D_I="SI",(Datos!K17-Datos!U17)/Datos!U17,(Datos!K17+Datos!AE17-(Datos!U17+Datos!AM17))/(Datos!U17+Datos!AM17))," - ")</f>
        <v>0.24423963133640553</v>
      </c>
      <c r="G17" s="348">
        <f>IF(ISNUMBER(
   IF(D_I="SI",(Datos!L17-Datos!V17)/Datos!V17,(Datos!L17+Datos!AF17-(Datos!V17+Datos!AN17))/(Datos!V17+Datos!AN17))
     ),IF(D_I="SI",(Datos!L17-Datos!V17)/Datos!V17,(Datos!L17+Datos!AF17-(Datos!V17+Datos!AN17))/(Datos!V17+Datos!AN17))," - ")</f>
        <v>-0.22784810126582278</v>
      </c>
      <c r="H17" s="229">
        <f>IF(ISNUMBER((Datos!M17-Datos!W17)/Datos!W17),(Datos!M17-Datos!W17)/Datos!W17," - ")</f>
        <v>0</v>
      </c>
      <c r="I17" s="349">
        <f>IF(ISNUMBER((Tasas!C17-Datos!BE17)/Datos!BE17),(Tasas!C17-Datos!BE17)/Datos!BE17," - ")</f>
        <v>-0.37941865916549461</v>
      </c>
      <c r="J17" s="348">
        <f>IF(ISNUMBER((Tasas!D17-Datos!BF17)/Datos!BF17),(Tasas!D17-Datos!BF17)/Datos!BF17," - ")</f>
        <v>-0.19629629629629633</v>
      </c>
      <c r="K17" s="350">
        <f>IF(ISNUMBER((Tasas!E17-Datos!BG17)/Datos!BG17),(Tasas!E17-Datos!BG17)/Datos!BG17," - ")</f>
        <v>-0.22494614689736639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0.13123359580052493</v>
      </c>
      <c r="E18" s="353">
        <f>IF(ISNUMBER(
   IF(D_I="SI",(Datos!J18-Datos!T18)/Datos!T18,(Datos!J18+Datos!AD18-(Datos!T18+Datos!AL18))/(Datos!T18+Datos!AL18))
     ),IF(D_I="SI",(Datos!J18-Datos!T18)/Datos!T18,(Datos!J18+Datos!AD18-(Datos!T18+Datos!AL18))/(Datos!T18+Datos!AL18))," - ")</f>
        <v>-2.3663038334122102E-2</v>
      </c>
      <c r="F18" s="353">
        <f>IF(ISNUMBER(
   IF(D_I="SI",(Datos!K18-Datos!U18)/Datos!U18,(Datos!K18+Datos!AE18-(Datos!U18+Datos!AM18))/(Datos!U18+Datos!AM18))
     ),IF(D_I="SI",(Datos!K18-Datos!U18)/Datos!U18,(Datos!K18+Datos!AE18-(Datos!U18+Datos!AM18))/(Datos!U18+Datos!AM18))," - ")</f>
        <v>-5.9989287627209426E-2</v>
      </c>
      <c r="G18" s="354">
        <f>IF(ISNUMBER(
   IF(D_I="SI",(Datos!L18-Datos!V18)/Datos!V18,(Datos!L18+Datos!AF18-(Datos!V18+Datos!AN18))/(Datos!V18+Datos!AN18))
     ),IF(D_I="SI",(Datos!L18-Datos!V18)/Datos!V18,(Datos!L18+Datos!AF18-(Datos!V18+Datos!AN18))/(Datos!V18+Datos!AN18))," - ")</f>
        <v>0.1408757138971988</v>
      </c>
      <c r="H18" s="355">
        <f>IF(ISNUMBER((Datos!M18-Datos!W18)/Datos!W18),(Datos!M18-Datos!W18)/Datos!W18," - ")</f>
        <v>-8.3333333333333329E-2</v>
      </c>
      <c r="I18" s="356">
        <f>IF(ISNUMBER((Tasas!C18-Datos!BE18)/Datos!BE18),(Tasas!C18-Datos!BE18)/Datos!BE18," - ")</f>
        <v>0.2136837366644275</v>
      </c>
      <c r="J18" s="354">
        <f>IF(ISNUMBER((Tasas!D18-Datos!BF18)/Datos!BF18),(Tasas!D18-Datos!BF18)/Datos!BF18," - ")</f>
        <v>-2.4833808167141418E-2</v>
      </c>
      <c r="K18" s="357">
        <f>IF(ISNUMBER((Tasas!E18-Datos!BG18)/Datos!BG18),(Tasas!E18-Datos!BG18)/Datos!BG18," - ")</f>
        <v>0.14059988423034242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0.22574973136661131</v>
      </c>
      <c r="E19" s="362">
        <f>IF(ISNUMBER(
   IF(J_V="SI",(Datos!J19-Datos!T19)/Datos!T19,(Datos!J19+Datos!Z19-(Datos!T19+Datos!AH19))/(Datos!T19+Datos!AH19))
     ),IF(J_V="SI",(Datos!J19-Datos!T19)/Datos!T19,(Datos!J19+Datos!Z19-(Datos!T19+Datos!AH19))/(Datos!T19+Datos!AH19))," - ")</f>
        <v>-0.1428232502965599</v>
      </c>
      <c r="F19" s="362">
        <f>IF(ISNUMBER(
   IF(J_V="SI",(Datos!K19-Datos!U19)/Datos!U19,(Datos!K19+Datos!AA19-(Datos!U19+Datos!AI19))/(Datos!U19+Datos!AI19))
     ),IF(J_V="SI",(Datos!K19-Datos!U19)/Datos!U19,(Datos!K19+Datos!AA19-(Datos!U19+Datos!AI19))/(Datos!U19+Datos!AI19))," - ")</f>
        <v>6.8175224833188275E-2</v>
      </c>
      <c r="G19" s="363">
        <f>IF(ISNUMBER(
   IF(J_V="SI",(Datos!L19-Datos!V19)/Datos!V19,(Datos!L19+Datos!AB19-(Datos!V19+Datos!AJ19))/(Datos!V19+Datos!AJ19))
     ),IF(J_V="SI",(Datos!L19-Datos!V19)/Datos!V19,(Datos!L19+Datos!AB19-(Datos!V19+Datos!AJ19))/(Datos!V19+Datos!AJ19))," - ")</f>
        <v>0.14618094178717092</v>
      </c>
      <c r="H19" s="364">
        <f>IF(ISNUMBER((Datos!M19-Datos!W19)/Datos!W19),(Datos!M19-Datos!W19)/Datos!W19," - ")</f>
        <v>8.8379705400982E-2</v>
      </c>
      <c r="I19" s="361">
        <f>IF(ISNUMBER((Tasas!C19-Datos!BE19)/Datos!BE19),(Tasas!C19-Datos!BE19)/Datos!BE19," - ")</f>
        <v>7.3027079397169611E-2</v>
      </c>
      <c r="J19" s="362">
        <f>IF(ISNUMBER((Tasas!D19-Datos!BF19)/Datos!BF19),(Tasas!D19-Datos!BF19)/Datos!BF19," - ")</f>
        <v>-0.30826996197718642</v>
      </c>
      <c r="K19" s="363">
        <f>IF(ISNUMBER((Tasas!E19-Datos!BG19)/Datos!BG19),(Tasas!E19-Datos!BG19)/Datos!BG19," - ")</f>
        <v>4.6882105974667736E-2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9.6433598026817044E-2</v>
      </c>
      <c r="E21" s="277">
        <f t="shared" si="1"/>
        <v>0.19157819352049144</v>
      </c>
      <c r="F21" s="277">
        <f t="shared" si="1"/>
        <v>0.18196279596910611</v>
      </c>
      <c r="G21" s="278">
        <f t="shared" si="1"/>
        <v>0.18008390465681454</v>
      </c>
      <c r="H21" s="284">
        <f t="shared" si="1"/>
        <v>0.45031282649509902</v>
      </c>
      <c r="I21" s="276">
        <f t="shared" si="1"/>
        <v>0.30329060853546302</v>
      </c>
      <c r="J21" s="277">
        <f t="shared" si="1"/>
        <v>0.36960044983913942</v>
      </c>
      <c r="K21" s="278">
        <f t="shared" si="1"/>
        <v>0.22608261173446156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aWgdERsGfYHFkcuJB6CTnjlokhT09TXpS8KidkwNBpD34TbBCJzQkfHAF24s3vQiq3r6PWC7XX9gF/8VvsISQ==" saltValue="cDy1yRjjtivJ3xszC/Kd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